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EQ REF_PARA ENVIAR REEDIÇÂO ENVIADO PARA ANA 05OUT2020\4_Mandar para Marucha\"/>
    </mc:Choice>
  </mc:AlternateContent>
  <xr:revisionPtr revIDLastSave="0" documentId="8_{4316D0B0-BAC5-4E0A-95B2-84B04D34F850}" xr6:coauthVersionLast="45" xr6:coauthVersionMax="45" xr10:uidLastSave="{00000000-0000-0000-0000-000000000000}"/>
  <bookViews>
    <workbookView xWindow="29085" yWindow="480" windowWidth="24540" windowHeight="14385" xr2:uid="{3D1C9E78-D072-4FB5-9196-871C995BF43A}"/>
  </bookViews>
  <sheets>
    <sheet name="SERVIÇOS" sheetId="1" r:id="rId1"/>
  </sheets>
  <externalReferences>
    <externalReference r:id="rId2"/>
    <externalReference r:id="rId3"/>
    <externalReference r:id="rId4"/>
    <externalReference r:id="rId5"/>
  </externalReferences>
  <definedNames>
    <definedName name="\A">[2]SERVIÇO!#REF!</definedName>
    <definedName name="\B">[2]SERVIÇO!#REF!</definedName>
    <definedName name="\C">[2]SERVIÇO!#REF!</definedName>
    <definedName name="\I">[2]SERVIÇO!#REF!</definedName>
    <definedName name="\J">[2]SERVIÇO!#REF!</definedName>
    <definedName name="\O">[2]SERVIÇO!#REF!</definedName>
    <definedName name="\P">[2]SERVIÇO!#REF!</definedName>
    <definedName name="__ACR10">[2]SERVIÇO!#REF!</definedName>
    <definedName name="__ACR15">[2]SERVIÇO!#REF!</definedName>
    <definedName name="__acr20">[2]SERVIÇO!#REF!</definedName>
    <definedName name="__acr5">[2]SERVIÇO!#REF!</definedName>
    <definedName name="__ARQ1">[2]SERVIÇO!#REF!</definedName>
    <definedName name="__QT100">[2]SERVIÇO!#REF!</definedName>
    <definedName name="__QT2">[2]SERVIÇO!#REF!</definedName>
    <definedName name="__QT3">[2]SERVIÇO!#REF!</definedName>
    <definedName name="__QT4">[2]SERVIÇO!#REF!</definedName>
    <definedName name="__QT50">[2]SERVIÇO!#REF!</definedName>
    <definedName name="__QT75">[2]SERVIÇO!#REF!</definedName>
    <definedName name="_ACR10">[2]SERVIÇO!#REF!</definedName>
    <definedName name="_ACR15">[2]SERVIÇO!#REF!</definedName>
    <definedName name="_acr20">[2]SERVIÇO!#REF!</definedName>
    <definedName name="_acr5">[2]SERVIÇO!#REF!</definedName>
    <definedName name="_ARQ1">[2]SERVIÇO!#REF!</definedName>
    <definedName name="_QT100">[2]SERVIÇO!#REF!</definedName>
    <definedName name="_QT2">[2]SERVIÇO!#REF!</definedName>
    <definedName name="_QT3">[2]SERVIÇO!#REF!</definedName>
    <definedName name="_QT4">[2]SERVIÇO!#REF!</definedName>
    <definedName name="_QT50">[2]SERVIÇO!#REF!</definedName>
    <definedName name="_QT75">[2]SERVIÇO!#REF!</definedName>
    <definedName name="_T">[2]SERVIÇO!#REF!</definedName>
    <definedName name="AAAAA">#REF!</definedName>
    <definedName name="abebqt">[2]SERVIÇO!#REF!</definedName>
    <definedName name="ACADUC">[2]SERVIÇO!#REF!</definedName>
    <definedName name="ACBEB">[2]SERVIÇO!#REF!</definedName>
    <definedName name="ACBOMB">[2]SERVIÇO!#REF!</definedName>
    <definedName name="ACCHAF">[2]SERVIÇO!#REF!</definedName>
    <definedName name="ACDER">[2]SERVIÇO!#REF!</definedName>
    <definedName name="ACDIV">[2]SERVIÇO!#REF!</definedName>
    <definedName name="ACEQP">[2]SERVIÇO!#REF!</definedName>
    <definedName name="ACHAFQT">[2]SERVIÇO!#REF!</definedName>
    <definedName name="ACMUR">[2]SERVIÇO!#REF!</definedName>
    <definedName name="ACONT2">[2]SERVIÇO!#REF!</definedName>
    <definedName name="ACPIPA">[2]SERVIÇO!#REF!</definedName>
    <definedName name="ACTRANSP">[2]SERVIÇO!#REF!</definedName>
    <definedName name="ADUCQT">[2]SERVIÇO!#REF!</definedName>
    <definedName name="AITEM">[2]SERVIÇO!#REF!</definedName>
    <definedName name="ALTADUC">[2]SERVIÇO!#REF!</definedName>
    <definedName name="ALTBOMB">[2]SERVIÇO!#REF!</definedName>
    <definedName name="ALTCAP">[2]SERVIÇO!#REF!</definedName>
    <definedName name="ALTDER">[2]SERVIÇO!#REF!</definedName>
    <definedName name="ALTEQUIP">[2]SERVIÇO!#REF!</definedName>
    <definedName name="ALTIEQP">[2]SERVIÇO!#REF!</definedName>
    <definedName name="ALTMUR">[2]SERVIÇO!#REF!</definedName>
    <definedName name="ALTRES10">[2]SERVIÇO!#REF!</definedName>
    <definedName name="ALTRES15">[2]SERVIÇO!#REF!</definedName>
    <definedName name="ALTRES20">[2]SERVIÇO!#REF!</definedName>
    <definedName name="ALTTRANS">[2]SERVIÇO!#REF!</definedName>
    <definedName name="AQTEMP1">[2]SERVIÇO!#REF!</definedName>
    <definedName name="AQTEMP2">[2]SERVIÇO!#REF!</definedName>
    <definedName name="_xlnm.Print_Area" localSheetId="0">SERVIÇOS!$A$1:$H$609</definedName>
    <definedName name="ARQ">[2]SERVIÇO!#REF!</definedName>
    <definedName name="ARQERR">[2]SERVIÇO!#REF!</definedName>
    <definedName name="ARQMARC">[2]SERVIÇO!#REF!</definedName>
    <definedName name="ARQPLAN">[2]SERVIÇO!#REF!</definedName>
    <definedName name="ARQT">[2]SERVIÇO!#REF!</definedName>
    <definedName name="ARQTEMP">[2]SERVIÇO!#REF!</definedName>
    <definedName name="ARQTXT">[2]SERVIÇO!#REF!</definedName>
    <definedName name="ARTEMP">[2]SERVIÇO!#REF!</definedName>
    <definedName name="ass">[2]SERVIÇO!#REF!</definedName>
    <definedName name="bebqt">[2]SERVIÇO!#REF!</definedName>
    <definedName name="CAMP">[2]SERVIÇO!#REF!</definedName>
    <definedName name="CHAFQT">[2]SERVIÇO!#REF!</definedName>
    <definedName name="COLSUB">[2]SERVIÇO!#REF!</definedName>
    <definedName name="CONT1">[2]SERVIÇO!#REF!</definedName>
    <definedName name="CONT2">[2]SERVIÇO!#REF!</definedName>
    <definedName name="CONT3">[2]SERVIÇO!#REF!</definedName>
    <definedName name="CONTAIT">[2]SERVIÇO!#REF!</definedName>
    <definedName name="CONTREC">[2]SERVIÇO!#REF!</definedName>
    <definedName name="CONTRES">[2]SERVIÇO!#REF!</definedName>
    <definedName name="CRITERX">[2]SERVIÇO!#REF!</definedName>
    <definedName name="DERIVQT">[2]SERVIÇO!#REF!</definedName>
    <definedName name="descnt">#REF!</definedName>
    <definedName name="descont">#REF!</definedName>
    <definedName name="DIFQT">[2]SERVIÇO!#REF!</definedName>
    <definedName name="EQPOTENC">[2]SERVIÇO!#REF!</definedName>
    <definedName name="FCRITER">[2]SERVIÇO!#REF!</definedName>
    <definedName name="HOJE">[2]SERVIÇO!#REF!</definedName>
    <definedName name="IMPF">[2]SERVIÇO!#REF!</definedName>
    <definedName name="IMPI">[2]SERVIÇO!#REF!</definedName>
    <definedName name="Insumos">'[4]RELAÇÃO - COMPOSIÇÕES E INSUMOS'!$A$7:$D$337</definedName>
    <definedName name="ITEMCONT">[2]SERVIÇO!#REF!</definedName>
    <definedName name="ITEMDER">[2]SERVIÇO!#REF!</definedName>
    <definedName name="ITEMEQP">[2]SERVIÇO!#REF!</definedName>
    <definedName name="ITEMMUR">[2]SERVIÇO!#REF!</definedName>
    <definedName name="ITEMR15">[2]SERVIÇO!#REF!</definedName>
    <definedName name="ITEMR20">[2]SERVIÇO!#REF!</definedName>
    <definedName name="ITEMTRANS">[2]SERVIÇO!#REF!</definedName>
    <definedName name="ITENS">[2]SERVIÇO!#REF!</definedName>
    <definedName name="ITENS0">[2]SERVIÇO!#REF!</definedName>
    <definedName name="ITENS1">[2]SERVIÇO!#REF!</definedName>
    <definedName name="ITENSP">[2]SERVIÇO!#REF!</definedName>
    <definedName name="ITENSPMED">[2]SERVIÇO!#REF!</definedName>
    <definedName name="LIN">[2]SERVIÇO!#REF!</definedName>
    <definedName name="LISTSEL">[2]SERVIÇO!#REF!</definedName>
    <definedName name="LOCAB">[2]SERVIÇO!#REF!</definedName>
    <definedName name="LOCAL">[2]SERVIÇO!#REF!</definedName>
    <definedName name="MARCAX">[2]SERVIÇO!#REF!</definedName>
    <definedName name="MENUBOM">[2]SERVIÇO!#REF!</definedName>
    <definedName name="MENUEQP">[2]SERVIÇO!#REF!</definedName>
    <definedName name="MENUFIM">[2]SERVIÇO!#REF!</definedName>
    <definedName name="MENUMED">[2]SERVIÇO!#REF!</definedName>
    <definedName name="MENUOBRA">[2]SERVIÇO!#REF!</definedName>
    <definedName name="MENUOUT">[2]SERVIÇO!#REF!</definedName>
    <definedName name="MENUOUTRO">[2]SERVIÇO!#REF!</definedName>
    <definedName name="menures">[2]SERVIÇO!#REF!</definedName>
    <definedName name="MUNICIPIO">[2]SERVIÇO!#REF!</definedName>
    <definedName name="MURBOMB">[2]SERVIÇO!#REF!</definedName>
    <definedName name="NDATA">[2]SERVIÇO!#REF!</definedName>
    <definedName name="NUCOPIAS">[2]SERVIÇO!#REF!</definedName>
    <definedName name="OBRA">[2]SERVIÇO!#REF!</definedName>
    <definedName name="OBRADUPL">[2]SERVIÇO!#REF!</definedName>
    <definedName name="OBRALOC">[2]SERVIÇO!#REF!</definedName>
    <definedName name="OBRASEL">[2]SERVIÇO!#REF!</definedName>
    <definedName name="PDER">[2]SERVIÇO!#REF!</definedName>
    <definedName name="PDIVERS">[2]SERVIÇO!#REF!</definedName>
    <definedName name="PEMD">[2]SERVIÇO!#REF!</definedName>
    <definedName name="PIEQUIP">[2]SERVIÇO!#REF!</definedName>
    <definedName name="PMUR">[2]SERVIÇO!#REF!</definedName>
    <definedName name="PTGERAL">[2]SERVIÇO!#REF!</definedName>
    <definedName name="QTNULO">[2]SERVIÇO!#REF!</definedName>
    <definedName name="QTPADRAO">[2]SERVIÇO!#REF!</definedName>
    <definedName name="QTRES">[2]SERVIÇO!#REF!</definedName>
    <definedName name="QUANT">[2]SERVIÇO!#REF!</definedName>
    <definedName name="QUANTP">[2]SERVIÇO!#REF!</definedName>
    <definedName name="RARQIMP">[2]SERVIÇO!#REF!</definedName>
    <definedName name="RECADUC">[2]SERVIÇO!#REF!</definedName>
    <definedName name="ridbeb">[2]SERVIÇO!#REF!</definedName>
    <definedName name="RIDCHAF">[2]SERVIÇO!#REF!</definedName>
    <definedName name="ridres05">[2]SERVIÇO!#REF!</definedName>
    <definedName name="RIDRES10">[2]SERVIÇO!#REF!</definedName>
    <definedName name="RIDRES15">[2]SERVIÇO!#REF!</definedName>
    <definedName name="ROMANO">[2]SERVIÇO!#REF!</definedName>
    <definedName name="ROTCOMP">[2]SERVIÇO!#REF!</definedName>
    <definedName name="ROTIMP">[2]SERVIÇO!#REF!</definedName>
    <definedName name="ROTRES">[2]SERVIÇO!#REF!</definedName>
    <definedName name="RQTADUC">[2]SERVIÇO!#REF!</definedName>
    <definedName name="rqtbeb">[2]SERVIÇO!#REF!</definedName>
    <definedName name="RQTCHAF">[2]SERVIÇO!#REF!</definedName>
    <definedName name="RQTDERV">[2]SERVIÇO!#REF!</definedName>
    <definedName name="rres05">[2]SERVIÇO!#REF!</definedName>
    <definedName name="RRES10">[2]SERVIÇO!#REF!</definedName>
    <definedName name="RRES15">[2]SERVIÇO!#REF!</definedName>
    <definedName name="RRES20">[2]SERVIÇO!#REF!</definedName>
    <definedName name="RRR">[2]SERVIÇO!#REF!</definedName>
    <definedName name="RRTEMP">[2]SERVIÇO!#REF!</definedName>
    <definedName name="RSEQ">[2]SERVIÇO!#REF!</definedName>
    <definedName name="RSUBTOT">[2]SERVIÇO!#REF!</definedName>
    <definedName name="rtitbeb">[2]SERVIÇO!#REF!</definedName>
    <definedName name="RTITCHAF">[2]SERVIÇO!#REF!</definedName>
    <definedName name="rtubos">[2]SERVIÇO!#REF!</definedName>
    <definedName name="SISTEM1">[2]SERVIÇO!#REF!</definedName>
    <definedName name="SISTEM2">[2]SERVIÇO!#REF!</definedName>
    <definedName name="SSS">[2]SERVIÇO!#REF!</definedName>
    <definedName name="SSTEMP">[2]SERVIÇO!#REF!</definedName>
    <definedName name="SUBDER">[2]SERVIÇO!#REF!</definedName>
    <definedName name="SUBDIV">[2]SERVIÇO!#REF!</definedName>
    <definedName name="SUBEQP">[2]SERVIÇO!#REF!</definedName>
    <definedName name="SUBMUR">[2]SERVIÇO!#REF!</definedName>
    <definedName name="titbeb">[2]SERVIÇO!#REF!</definedName>
    <definedName name="TITCHAF">[2]SERVIÇO!#REF!</definedName>
    <definedName name="_xlnm.Print_Titles" localSheetId="0">SERVIÇOS!$8:$8</definedName>
    <definedName name="TOTQTS">[2]SERVIÇO!#REF!</definedName>
    <definedName name="TTT">[2]SERVIÇO!#REF!</definedName>
    <definedName name="TXTEQUIP">[2]SERVIÇO!#REF!</definedName>
    <definedName name="TXTMARCA">[2]SERVIÇO!#REF!</definedName>
    <definedName name="TXTMOD">[2]SERVIÇO!#REF!</definedName>
    <definedName name="TXTPOT">[2]SERVIÇO!#REF!</definedName>
    <definedName name="WITENS">[2]SERVIÇO!#REF!</definedName>
    <definedName name="WNMLOCAL">[2]SERVIÇO!#REF!</definedName>
    <definedName name="WNMMUN">[2]SERVIÇO!#REF!</definedName>
    <definedName name="WNMSERV">[2]SERVIÇO!#REF!</definedName>
    <definedName name="XALFA">[2]SERVIÇO!#REF!</definedName>
    <definedName name="XDATA">[2]SERVIÇO!#REF!</definedName>
    <definedName name="XITEM">[2]SERVIÇO!#REF!</definedName>
    <definedName name="XLOC">[2]SERVIÇO!#REF!</definedName>
    <definedName name="xnInforme_quantos_bebedouros____bebqt__if_bebqt__0__xlQt.bebedouros_invalida___ENTER_p_reinformar__xresp__branch_rqtderv">[2]SERVIÇO!#REF!</definedName>
    <definedName name="XNUCOPIAS">[2]SERVIÇO!#REF!</definedName>
    <definedName name="XRESP">[2]SERVIÇO!#REF!</definedName>
    <definedName name="XTITRES">[2]SERVIÇO!#REF!</definedName>
    <definedName name="ZECA">[2]SERVIÇO!#REF!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7" i="1" l="1"/>
  <c r="G596" i="1"/>
  <c r="E596" i="1"/>
  <c r="G595" i="1"/>
  <c r="F595" i="1"/>
  <c r="F594" i="1"/>
  <c r="G594" i="1" s="1"/>
  <c r="C594" i="1"/>
  <c r="E593" i="1"/>
  <c r="G592" i="1"/>
  <c r="E592" i="1"/>
  <c r="G591" i="1"/>
  <c r="G590" i="1"/>
  <c r="G589" i="1"/>
  <c r="F589" i="1"/>
  <c r="G588" i="1"/>
  <c r="F588" i="1"/>
  <c r="F587" i="1"/>
  <c r="G587" i="1" s="1"/>
  <c r="G581" i="1"/>
  <c r="E581" i="1"/>
  <c r="G580" i="1"/>
  <c r="G579" i="1"/>
  <c r="E579" i="1"/>
  <c r="G577" i="1"/>
  <c r="E574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C542" i="1"/>
  <c r="G541" i="1"/>
  <c r="C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C515" i="1"/>
  <c r="G514" i="1"/>
  <c r="G513" i="1"/>
  <c r="G512" i="1"/>
  <c r="G511" i="1"/>
  <c r="G510" i="1"/>
  <c r="G509" i="1"/>
  <c r="G508" i="1"/>
  <c r="G507" i="1"/>
  <c r="G506" i="1"/>
  <c r="G505" i="1"/>
  <c r="G504" i="1"/>
  <c r="C504" i="1"/>
  <c r="G503" i="1"/>
  <c r="G502" i="1"/>
  <c r="C502" i="1"/>
  <c r="G501" i="1"/>
  <c r="C501" i="1"/>
  <c r="G499" i="1"/>
  <c r="G498" i="1"/>
  <c r="G497" i="1"/>
  <c r="G496" i="1"/>
  <c r="C496" i="1"/>
  <c r="G495" i="1"/>
  <c r="G494" i="1"/>
  <c r="G493" i="1"/>
  <c r="G492" i="1"/>
  <c r="G491" i="1"/>
  <c r="G490" i="1"/>
  <c r="G489" i="1"/>
  <c r="E489" i="1"/>
  <c r="G487" i="1"/>
  <c r="G486" i="1"/>
  <c r="C486" i="1"/>
  <c r="G485" i="1"/>
  <c r="C485" i="1"/>
  <c r="G484" i="1"/>
  <c r="G483" i="1"/>
  <c r="E483" i="1"/>
  <c r="C483" i="1"/>
  <c r="G482" i="1"/>
  <c r="G481" i="1"/>
  <c r="C481" i="1"/>
  <c r="G480" i="1"/>
  <c r="G479" i="1"/>
  <c r="C479" i="1"/>
  <c r="G478" i="1"/>
  <c r="C478" i="1"/>
  <c r="G476" i="1"/>
  <c r="C476" i="1"/>
  <c r="G475" i="1"/>
  <c r="G474" i="1"/>
  <c r="G473" i="1"/>
  <c r="C473" i="1"/>
  <c r="G471" i="1"/>
  <c r="C471" i="1"/>
  <c r="G470" i="1"/>
  <c r="G469" i="1"/>
  <c r="F469" i="1"/>
  <c r="G468" i="1"/>
  <c r="G467" i="1"/>
  <c r="F467" i="1"/>
  <c r="C467" i="1"/>
  <c r="G466" i="1"/>
  <c r="F466" i="1"/>
  <c r="G465" i="1"/>
  <c r="F465" i="1"/>
  <c r="G463" i="1"/>
  <c r="E463" i="1"/>
  <c r="C463" i="1"/>
  <c r="G462" i="1"/>
  <c r="C462" i="1"/>
  <c r="G461" i="1"/>
  <c r="C461" i="1"/>
  <c r="G460" i="1"/>
  <c r="G459" i="1"/>
  <c r="G458" i="1"/>
  <c r="G457" i="1"/>
  <c r="G456" i="1"/>
  <c r="G455" i="1"/>
  <c r="C455" i="1"/>
  <c r="G454" i="1"/>
  <c r="C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C436" i="1"/>
  <c r="G435" i="1"/>
  <c r="C435" i="1"/>
  <c r="G434" i="1"/>
  <c r="C434" i="1"/>
  <c r="G433" i="1"/>
  <c r="C433" i="1"/>
  <c r="G432" i="1"/>
  <c r="G431" i="1"/>
  <c r="G430" i="1"/>
  <c r="G429" i="1"/>
  <c r="G427" i="1"/>
  <c r="C427" i="1"/>
  <c r="G426" i="1"/>
  <c r="E426" i="1"/>
  <c r="C426" i="1"/>
  <c r="G425" i="1"/>
  <c r="C425" i="1"/>
  <c r="G424" i="1"/>
  <c r="C424" i="1"/>
  <c r="G423" i="1"/>
  <c r="G421" i="1"/>
  <c r="G420" i="1"/>
  <c r="G419" i="1"/>
  <c r="G418" i="1"/>
  <c r="G417" i="1"/>
  <c r="G416" i="1"/>
  <c r="G415" i="1"/>
  <c r="F415" i="1"/>
  <c r="G414" i="1"/>
  <c r="G413" i="1"/>
  <c r="F413" i="1"/>
  <c r="G412" i="1"/>
  <c r="G411" i="1"/>
  <c r="G410" i="1"/>
  <c r="G409" i="1"/>
  <c r="G408" i="1"/>
  <c r="G407" i="1"/>
  <c r="G406" i="1"/>
  <c r="E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E302" i="1"/>
  <c r="G302" i="1" s="1"/>
  <c r="G301" i="1"/>
  <c r="G300" i="1"/>
  <c r="G299" i="1"/>
  <c r="G298" i="1"/>
  <c r="F298" i="1"/>
  <c r="C298" i="1"/>
  <c r="G297" i="1"/>
  <c r="F297" i="1"/>
  <c r="C297" i="1"/>
  <c r="G296" i="1"/>
  <c r="F296" i="1"/>
  <c r="F295" i="1"/>
  <c r="G295" i="1" s="1"/>
  <c r="G294" i="1"/>
  <c r="G293" i="1"/>
  <c r="G292" i="1"/>
  <c r="G291" i="1"/>
  <c r="G290" i="1"/>
  <c r="G289" i="1"/>
  <c r="G288" i="1"/>
  <c r="G287" i="1"/>
  <c r="E287" i="1"/>
  <c r="C287" i="1"/>
  <c r="G286" i="1"/>
  <c r="G285" i="1"/>
  <c r="G284" i="1"/>
  <c r="G283" i="1"/>
  <c r="C283" i="1"/>
  <c r="G282" i="1"/>
  <c r="C282" i="1"/>
  <c r="G280" i="1"/>
  <c r="C280" i="1"/>
  <c r="E279" i="1"/>
  <c r="G279" i="1" s="1"/>
  <c r="G278" i="1"/>
  <c r="C278" i="1"/>
  <c r="G277" i="1"/>
  <c r="G276" i="1"/>
  <c r="C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C263" i="1"/>
  <c r="G262" i="1"/>
  <c r="C262" i="1"/>
  <c r="G261" i="1"/>
  <c r="C261" i="1"/>
  <c r="G260" i="1"/>
  <c r="C260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1" i="1"/>
  <c r="G230" i="1"/>
  <c r="G229" i="1"/>
  <c r="G228" i="1"/>
  <c r="G227" i="1"/>
  <c r="G226" i="1"/>
  <c r="G225" i="1"/>
  <c r="G224" i="1"/>
  <c r="C224" i="1"/>
  <c r="G223" i="1"/>
  <c r="G222" i="1"/>
  <c r="G221" i="1"/>
  <c r="C221" i="1"/>
  <c r="G220" i="1"/>
  <c r="G219" i="1"/>
  <c r="G218" i="1"/>
  <c r="C218" i="1"/>
  <c r="G217" i="1"/>
  <c r="C217" i="1"/>
  <c r="G216" i="1"/>
  <c r="G215" i="1"/>
  <c r="G214" i="1"/>
  <c r="G213" i="1"/>
  <c r="C213" i="1"/>
  <c r="G212" i="1"/>
  <c r="F211" i="1"/>
  <c r="G211" i="1" s="1"/>
  <c r="G210" i="1"/>
  <c r="C210" i="1"/>
  <c r="G209" i="1"/>
  <c r="G208" i="1"/>
  <c r="G207" i="1"/>
  <c r="G206" i="1"/>
  <c r="G205" i="1"/>
  <c r="C205" i="1"/>
  <c r="G204" i="1"/>
  <c r="G203" i="1"/>
  <c r="C203" i="1"/>
  <c r="F202" i="1"/>
  <c r="G202" i="1" s="1"/>
  <c r="G201" i="1"/>
  <c r="C201" i="1"/>
  <c r="G200" i="1"/>
  <c r="C200" i="1"/>
  <c r="G199" i="1"/>
  <c r="C199" i="1"/>
  <c r="G198" i="1"/>
  <c r="F198" i="1"/>
  <c r="C198" i="1"/>
  <c r="G197" i="1"/>
  <c r="C197" i="1"/>
  <c r="G196" i="1"/>
  <c r="C196" i="1"/>
  <c r="G195" i="1"/>
  <c r="C195" i="1"/>
  <c r="G193" i="1"/>
  <c r="C193" i="1"/>
  <c r="G192" i="1"/>
  <c r="C192" i="1"/>
  <c r="G191" i="1"/>
  <c r="G190" i="1"/>
  <c r="C190" i="1"/>
  <c r="G189" i="1"/>
  <c r="G188" i="1"/>
  <c r="G187" i="1"/>
  <c r="C187" i="1"/>
  <c r="G186" i="1"/>
  <c r="G185" i="1"/>
  <c r="C185" i="1"/>
  <c r="G183" i="1"/>
  <c r="G182" i="1"/>
  <c r="G181" i="1"/>
  <c r="C181" i="1"/>
  <c r="G180" i="1"/>
  <c r="G179" i="1"/>
  <c r="G178" i="1"/>
  <c r="G177" i="1"/>
  <c r="G176" i="1"/>
  <c r="G175" i="1"/>
  <c r="G174" i="1"/>
  <c r="G173" i="1"/>
  <c r="G172" i="1"/>
  <c r="G171" i="1"/>
  <c r="G170" i="1"/>
  <c r="C170" i="1"/>
  <c r="G169" i="1"/>
  <c r="C169" i="1"/>
  <c r="G168" i="1"/>
  <c r="G167" i="1"/>
  <c r="C167" i="1"/>
  <c r="E166" i="1"/>
  <c r="G166" i="1" s="1"/>
  <c r="G159" i="1" s="1"/>
  <c r="G165" i="1"/>
  <c r="G164" i="1"/>
  <c r="C164" i="1"/>
  <c r="G163" i="1"/>
  <c r="G162" i="1"/>
  <c r="C162" i="1"/>
  <c r="G161" i="1"/>
  <c r="C161" i="1"/>
  <c r="G160" i="1"/>
  <c r="C160" i="1"/>
  <c r="G158" i="1"/>
  <c r="G157" i="1"/>
  <c r="C157" i="1"/>
  <c r="G156" i="1"/>
  <c r="G155" i="1"/>
  <c r="G154" i="1"/>
  <c r="G153" i="1"/>
  <c r="G152" i="1"/>
  <c r="G151" i="1"/>
  <c r="C151" i="1"/>
  <c r="G150" i="1"/>
  <c r="G149" i="1"/>
  <c r="G148" i="1"/>
  <c r="G147" i="1"/>
  <c r="G146" i="1"/>
  <c r="G145" i="1"/>
  <c r="C145" i="1"/>
  <c r="G143" i="1"/>
  <c r="G142" i="1"/>
  <c r="G141" i="1"/>
  <c r="C141" i="1"/>
  <c r="G140" i="1"/>
  <c r="G136" i="1" s="1"/>
  <c r="G139" i="1"/>
  <c r="G138" i="1"/>
  <c r="C138" i="1"/>
  <c r="G137" i="1"/>
  <c r="G135" i="1"/>
  <c r="C135" i="1"/>
  <c r="G134" i="1"/>
  <c r="C134" i="1"/>
  <c r="G133" i="1"/>
  <c r="G132" i="1"/>
  <c r="C132" i="1"/>
  <c r="G131" i="1"/>
  <c r="G130" i="1"/>
  <c r="G129" i="1"/>
  <c r="G128" i="1"/>
  <c r="C128" i="1"/>
  <c r="G126" i="1"/>
  <c r="G125" i="1"/>
  <c r="G124" i="1"/>
  <c r="G123" i="1"/>
  <c r="G122" i="1"/>
  <c r="G121" i="1"/>
  <c r="G120" i="1"/>
  <c r="G119" i="1"/>
  <c r="G118" i="1"/>
  <c r="G117" i="1"/>
  <c r="G116" i="1"/>
  <c r="C116" i="1"/>
  <c r="G115" i="1"/>
  <c r="G114" i="1"/>
  <c r="C114" i="1"/>
  <c r="G113" i="1"/>
  <c r="G112" i="1"/>
  <c r="G111" i="1"/>
  <c r="G110" i="1"/>
  <c r="G109" i="1"/>
  <c r="G108" i="1"/>
  <c r="G107" i="1"/>
  <c r="G106" i="1"/>
  <c r="G105" i="1"/>
  <c r="G104" i="1"/>
  <c r="C104" i="1"/>
  <c r="G103" i="1"/>
  <c r="C103" i="1"/>
  <c r="G102" i="1"/>
  <c r="C102" i="1"/>
  <c r="G101" i="1"/>
  <c r="G100" i="1"/>
  <c r="C100" i="1"/>
  <c r="G99" i="1"/>
  <c r="G98" i="1"/>
  <c r="C98" i="1"/>
  <c r="G97" i="1"/>
  <c r="C97" i="1"/>
  <c r="G96" i="1"/>
  <c r="G95" i="1"/>
  <c r="G94" i="1"/>
  <c r="G93" i="1"/>
  <c r="C93" i="1"/>
  <c r="G92" i="1"/>
  <c r="C92" i="1"/>
  <c r="G91" i="1"/>
  <c r="G90" i="1"/>
  <c r="G89" i="1"/>
  <c r="G88" i="1"/>
  <c r="C88" i="1"/>
  <c r="G87" i="1"/>
  <c r="C87" i="1"/>
  <c r="G86" i="1"/>
  <c r="G85" i="1"/>
  <c r="G84" i="1"/>
  <c r="C84" i="1"/>
  <c r="G83" i="1"/>
  <c r="C83" i="1"/>
  <c r="G82" i="1"/>
  <c r="C82" i="1"/>
  <c r="G81" i="1"/>
  <c r="C81" i="1"/>
  <c r="G80" i="1"/>
  <c r="C80" i="1"/>
  <c r="G79" i="1"/>
  <c r="G78" i="1"/>
  <c r="G77" i="1"/>
  <c r="G76" i="1"/>
  <c r="G75" i="1"/>
  <c r="G74" i="1"/>
  <c r="G73" i="1"/>
  <c r="G72" i="1"/>
  <c r="G71" i="1"/>
  <c r="E69" i="1"/>
  <c r="G69" i="1" s="1"/>
  <c r="G68" i="1"/>
  <c r="E67" i="1"/>
  <c r="G67" i="1" s="1"/>
  <c r="G66" i="1"/>
  <c r="G65" i="1"/>
  <c r="G64" i="1"/>
  <c r="G63" i="1"/>
  <c r="G62" i="1"/>
  <c r="G61" i="1"/>
  <c r="G60" i="1"/>
  <c r="G59" i="1"/>
  <c r="C59" i="1"/>
  <c r="G58" i="1"/>
  <c r="G57" i="1"/>
  <c r="G56" i="1"/>
  <c r="G55" i="1"/>
  <c r="G54" i="1"/>
  <c r="G53" i="1"/>
  <c r="G52" i="1"/>
  <c r="G51" i="1"/>
  <c r="G50" i="1"/>
  <c r="G49" i="1"/>
  <c r="G48" i="1"/>
  <c r="G47" i="1"/>
  <c r="C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C33" i="1"/>
  <c r="G32" i="1"/>
  <c r="G31" i="1"/>
  <c r="C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E17" i="1"/>
  <c r="G16" i="1"/>
  <c r="C16" i="1"/>
  <c r="E15" i="1"/>
  <c r="G15" i="1" s="1"/>
  <c r="G14" i="1"/>
  <c r="E14" i="1"/>
  <c r="E13" i="1"/>
  <c r="E575" i="1" s="1"/>
  <c r="G575" i="1" s="1"/>
  <c r="E12" i="1"/>
  <c r="E11" i="1"/>
  <c r="G11" i="1" s="1"/>
  <c r="G10" i="1"/>
  <c r="G70" i="1" l="1"/>
  <c r="G184" i="1"/>
  <c r="G500" i="1"/>
  <c r="G13" i="1"/>
  <c r="G428" i="1"/>
  <c r="G18" i="1"/>
  <c r="G472" i="1"/>
  <c r="G477" i="1"/>
  <c r="E576" i="1"/>
  <c r="G576" i="1" s="1"/>
  <c r="G12" i="1"/>
  <c r="G144" i="1"/>
  <c r="G598" i="1"/>
  <c r="G127" i="1"/>
  <c r="G422" i="1"/>
  <c r="G194" i="1"/>
  <c r="G232" i="1"/>
  <c r="G259" i="1"/>
  <c r="E578" i="1"/>
  <c r="G578" i="1" s="1"/>
  <c r="G574" i="1"/>
  <c r="E597" i="1"/>
  <c r="G597" i="1" s="1"/>
  <c r="G593" i="1"/>
  <c r="G281" i="1"/>
  <c r="G464" i="1"/>
  <c r="G488" i="1"/>
  <c r="G573" i="1" l="1"/>
  <c r="G9" i="1"/>
  <c r="G599" i="1"/>
  <c r="G582" i="1" l="1"/>
  <c r="I582" i="1"/>
  <c r="G600" i="1"/>
  <c r="G583" i="1" l="1"/>
  <c r="J582" i="1"/>
  <c r="I602" i="1" l="1"/>
  <c r="G584" i="1"/>
  <c r="G602" i="1" l="1"/>
  <c r="J602" i="1" l="1"/>
  <c r="H601" i="1"/>
  <c r="H592" i="1"/>
  <c r="H586" i="1"/>
  <c r="H571" i="1"/>
  <c r="H569" i="1"/>
  <c r="H567" i="1"/>
  <c r="H565" i="1"/>
  <c r="H563" i="1"/>
  <c r="H561" i="1"/>
  <c r="H559" i="1"/>
  <c r="H557" i="1"/>
  <c r="H555" i="1"/>
  <c r="H553" i="1"/>
  <c r="H551" i="1"/>
  <c r="H549" i="1"/>
  <c r="H547" i="1"/>
  <c r="H545" i="1"/>
  <c r="H543" i="1"/>
  <c r="H540" i="1"/>
  <c r="H538" i="1"/>
  <c r="H536" i="1"/>
  <c r="H534" i="1"/>
  <c r="H532" i="1"/>
  <c r="H530" i="1"/>
  <c r="H528" i="1"/>
  <c r="H526" i="1"/>
  <c r="H524" i="1"/>
  <c r="H522" i="1"/>
  <c r="H520" i="1"/>
  <c r="H518" i="1"/>
  <c r="H516" i="1"/>
  <c r="H503" i="1"/>
  <c r="H498" i="1"/>
  <c r="H496" i="1"/>
  <c r="H487" i="1"/>
  <c r="H484" i="1"/>
  <c r="H481" i="1"/>
  <c r="H478" i="1"/>
  <c r="H475" i="1"/>
  <c r="H473" i="1"/>
  <c r="H470" i="1"/>
  <c r="H433" i="1"/>
  <c r="H425" i="1"/>
  <c r="H420" i="1"/>
  <c r="H418" i="1"/>
  <c r="H416" i="1"/>
  <c r="H411" i="1"/>
  <c r="H409" i="1"/>
  <c r="H407" i="1"/>
  <c r="H278" i="1"/>
  <c r="H590" i="1"/>
  <c r="H585" i="1"/>
  <c r="H580" i="1"/>
  <c r="H577" i="1"/>
  <c r="H541" i="1"/>
  <c r="H514" i="1"/>
  <c r="H512" i="1"/>
  <c r="H510" i="1"/>
  <c r="H508" i="1"/>
  <c r="H506" i="1"/>
  <c r="H504" i="1"/>
  <c r="H501" i="1"/>
  <c r="H494" i="1"/>
  <c r="H492" i="1"/>
  <c r="H490" i="1"/>
  <c r="H485" i="1"/>
  <c r="H479" i="1"/>
  <c r="H476" i="1"/>
  <c r="H471" i="1"/>
  <c r="H468" i="1"/>
  <c r="H460" i="1"/>
  <c r="H458" i="1"/>
  <c r="H456" i="1"/>
  <c r="H453" i="1"/>
  <c r="H451" i="1"/>
  <c r="H449" i="1"/>
  <c r="H447" i="1"/>
  <c r="H445" i="1"/>
  <c r="H443" i="1"/>
  <c r="H441" i="1"/>
  <c r="H439" i="1"/>
  <c r="H437" i="1"/>
  <c r="H434" i="1"/>
  <c r="H431" i="1"/>
  <c r="H429" i="1"/>
  <c r="H427" i="1"/>
  <c r="H414" i="1"/>
  <c r="H405" i="1"/>
  <c r="H403" i="1"/>
  <c r="H401" i="1"/>
  <c r="H399" i="1"/>
  <c r="H397" i="1"/>
  <c r="H395" i="1"/>
  <c r="H393" i="1"/>
  <c r="H391" i="1"/>
  <c r="H389" i="1"/>
  <c r="H387" i="1"/>
  <c r="H385" i="1"/>
  <c r="H383" i="1"/>
  <c r="H381" i="1"/>
  <c r="H379" i="1"/>
  <c r="H377" i="1"/>
  <c r="H375" i="1"/>
  <c r="H373" i="1"/>
  <c r="H371" i="1"/>
  <c r="H369" i="1"/>
  <c r="H367" i="1"/>
  <c r="H365" i="1"/>
  <c r="H363" i="1"/>
  <c r="H361" i="1"/>
  <c r="H359" i="1"/>
  <c r="H357" i="1"/>
  <c r="H355" i="1"/>
  <c r="H353" i="1"/>
  <c r="H351" i="1"/>
  <c r="H349" i="1"/>
  <c r="H347" i="1"/>
  <c r="H345" i="1"/>
  <c r="H343" i="1"/>
  <c r="H341" i="1"/>
  <c r="H339" i="1"/>
  <c r="H337" i="1"/>
  <c r="H335" i="1"/>
  <c r="H333" i="1"/>
  <c r="H331" i="1"/>
  <c r="H329" i="1"/>
  <c r="H327" i="1"/>
  <c r="H325" i="1"/>
  <c r="H323" i="1"/>
  <c r="H321" i="1"/>
  <c r="H319" i="1"/>
  <c r="H317" i="1"/>
  <c r="H315" i="1"/>
  <c r="H313" i="1"/>
  <c r="H311" i="1"/>
  <c r="H309" i="1"/>
  <c r="H307" i="1"/>
  <c r="H305" i="1"/>
  <c r="H303" i="1"/>
  <c r="H282" i="1"/>
  <c r="H602" i="1"/>
  <c r="H596" i="1"/>
  <c r="H579" i="1"/>
  <c r="H509" i="1"/>
  <c r="H495" i="1"/>
  <c r="H459" i="1"/>
  <c r="H452" i="1"/>
  <c r="H444" i="1"/>
  <c r="H436" i="1"/>
  <c r="H430" i="1"/>
  <c r="H413" i="1"/>
  <c r="H404" i="1"/>
  <c r="H396" i="1"/>
  <c r="H388" i="1"/>
  <c r="H380" i="1"/>
  <c r="H372" i="1"/>
  <c r="H364" i="1"/>
  <c r="H356" i="1"/>
  <c r="H348" i="1"/>
  <c r="H340" i="1"/>
  <c r="H332" i="1"/>
  <c r="H324" i="1"/>
  <c r="H316" i="1"/>
  <c r="H308" i="1"/>
  <c r="H271" i="1"/>
  <c r="H263" i="1"/>
  <c r="H257" i="1"/>
  <c r="H255" i="1"/>
  <c r="H253" i="1"/>
  <c r="H251" i="1"/>
  <c r="H249" i="1"/>
  <c r="H247" i="1"/>
  <c r="H245" i="1"/>
  <c r="H243" i="1"/>
  <c r="H241" i="1"/>
  <c r="H239" i="1"/>
  <c r="H237" i="1"/>
  <c r="H235" i="1"/>
  <c r="H233" i="1"/>
  <c r="H231" i="1"/>
  <c r="H229" i="1"/>
  <c r="H227" i="1"/>
  <c r="H225" i="1"/>
  <c r="H220" i="1"/>
  <c r="H218" i="1"/>
  <c r="H215" i="1"/>
  <c r="H213" i="1"/>
  <c r="H210" i="1"/>
  <c r="H199" i="1"/>
  <c r="H191" i="1"/>
  <c r="H186" i="1"/>
  <c r="H179" i="1"/>
  <c r="H177" i="1"/>
  <c r="H175" i="1"/>
  <c r="H173" i="1"/>
  <c r="H589" i="1"/>
  <c r="H511" i="1"/>
  <c r="H489" i="1"/>
  <c r="H480" i="1"/>
  <c r="H467" i="1"/>
  <c r="H466" i="1"/>
  <c r="H446" i="1"/>
  <c r="H438" i="1"/>
  <c r="H432" i="1"/>
  <c r="H398" i="1"/>
  <c r="H390" i="1"/>
  <c r="H382" i="1"/>
  <c r="H374" i="1"/>
  <c r="H366" i="1"/>
  <c r="H358" i="1"/>
  <c r="H350" i="1"/>
  <c r="H342" i="1"/>
  <c r="H334" i="1"/>
  <c r="H326" i="1"/>
  <c r="H318" i="1"/>
  <c r="H310" i="1"/>
  <c r="H273" i="1"/>
  <c r="H265" i="1"/>
  <c r="H491" i="1"/>
  <c r="H442" i="1"/>
  <c r="H424" i="1"/>
  <c r="H394" i="1"/>
  <c r="H378" i="1"/>
  <c r="H362" i="1"/>
  <c r="H346" i="1"/>
  <c r="H330" i="1"/>
  <c r="H314" i="1"/>
  <c r="H277" i="1"/>
  <c r="H275" i="1"/>
  <c r="H217" i="1"/>
  <c r="H209" i="1"/>
  <c r="H188" i="1"/>
  <c r="H181" i="1"/>
  <c r="H505" i="1"/>
  <c r="H493" i="1"/>
  <c r="H448" i="1"/>
  <c r="H400" i="1"/>
  <c r="H384" i="1"/>
  <c r="H368" i="1"/>
  <c r="H352" i="1"/>
  <c r="H336" i="1"/>
  <c r="H320" i="1"/>
  <c r="H304" i="1"/>
  <c r="H262" i="1"/>
  <c r="H183" i="1"/>
  <c r="H162" i="1"/>
  <c r="H591" i="1"/>
  <c r="H513" i="1"/>
  <c r="H463" i="1"/>
  <c r="H462" i="1"/>
  <c r="H457" i="1"/>
  <c r="H440" i="1"/>
  <c r="H392" i="1"/>
  <c r="H376" i="1"/>
  <c r="H360" i="1"/>
  <c r="H344" i="1"/>
  <c r="H328" i="1"/>
  <c r="H312" i="1"/>
  <c r="H269" i="1"/>
  <c r="H222" i="1"/>
  <c r="H207" i="1"/>
  <c r="H156" i="1"/>
  <c r="H154" i="1"/>
  <c r="H152" i="1"/>
  <c r="H507" i="1"/>
  <c r="H402" i="1"/>
  <c r="H338" i="1"/>
  <c r="H238" i="1"/>
  <c r="H230" i="1"/>
  <c r="H170" i="1"/>
  <c r="H129" i="1"/>
  <c r="H121" i="1"/>
  <c r="H106" i="1"/>
  <c r="H100" i="1"/>
  <c r="H98" i="1"/>
  <c r="H74" i="1"/>
  <c r="H455" i="1"/>
  <c r="H450" i="1"/>
  <c r="H386" i="1"/>
  <c r="H322" i="1"/>
  <c r="H267" i="1"/>
  <c r="H214" i="1"/>
  <c r="H212" i="1"/>
  <c r="H139" i="1"/>
  <c r="H133" i="1"/>
  <c r="H131" i="1"/>
  <c r="H123" i="1"/>
  <c r="H108" i="1"/>
  <c r="H90" i="1"/>
  <c r="H82" i="1"/>
  <c r="H68" i="1"/>
  <c r="H60" i="1"/>
  <c r="H47" i="1"/>
  <c r="H45" i="1"/>
  <c r="H37" i="1"/>
  <c r="H28" i="1"/>
  <c r="H20" i="1"/>
  <c r="H15" i="1"/>
  <c r="H11" i="1"/>
  <c r="H119" i="1"/>
  <c r="H112" i="1"/>
  <c r="H104" i="1"/>
  <c r="H95" i="1"/>
  <c r="H41" i="1"/>
  <c r="H24" i="1"/>
  <c r="H88" i="1"/>
  <c r="H81" i="1"/>
  <c r="H35" i="1"/>
  <c r="H26" i="1"/>
  <c r="H370" i="1"/>
  <c r="H306" i="1"/>
  <c r="H254" i="1"/>
  <c r="H205" i="1"/>
  <c r="H193" i="1"/>
  <c r="H146" i="1"/>
  <c r="H134" i="1"/>
  <c r="H125" i="1"/>
  <c r="H117" i="1"/>
  <c r="H110" i="1"/>
  <c r="H93" i="1"/>
  <c r="H62" i="1"/>
  <c r="H39" i="1"/>
  <c r="H30" i="1"/>
  <c r="H22" i="1"/>
  <c r="H354" i="1"/>
  <c r="H246" i="1"/>
  <c r="H198" i="1"/>
  <c r="H197" i="1"/>
  <c r="H178" i="1"/>
  <c r="H85" i="1"/>
  <c r="H64" i="1"/>
  <c r="H33" i="1"/>
  <c r="H53" i="1"/>
  <c r="H43" i="1"/>
  <c r="H49" i="1"/>
  <c r="H78" i="1"/>
  <c r="H103" i="1"/>
  <c r="H67" i="1"/>
  <c r="H136" i="1"/>
  <c r="H29" i="1"/>
  <c r="H48" i="1"/>
  <c r="H27" i="1"/>
  <c r="H75" i="1"/>
  <c r="H149" i="1"/>
  <c r="H185" i="1"/>
  <c r="H216" i="1"/>
  <c r="H250" i="1"/>
  <c r="H502" i="1"/>
  <c r="H42" i="1"/>
  <c r="H96" i="1"/>
  <c r="H120" i="1"/>
  <c r="H167" i="1"/>
  <c r="H219" i="1"/>
  <c r="H83" i="1"/>
  <c r="H107" i="1"/>
  <c r="H40" i="1"/>
  <c r="H66" i="1"/>
  <c r="H94" i="1"/>
  <c r="H126" i="1"/>
  <c r="H180" i="1"/>
  <c r="H226" i="1"/>
  <c r="H264" i="1"/>
  <c r="H482" i="1"/>
  <c r="H21" i="1"/>
  <c r="H91" i="1"/>
  <c r="H135" i="1"/>
  <c r="H166" i="1"/>
  <c r="H202" i="1"/>
  <c r="H182" i="1"/>
  <c r="H483" i="1"/>
  <c r="H554" i="1"/>
  <c r="H221" i="1"/>
  <c r="H287" i="1"/>
  <c r="H268" i="1"/>
  <c r="H537" i="1"/>
  <c r="H548" i="1"/>
  <c r="H87" i="1"/>
  <c r="H114" i="1"/>
  <c r="H51" i="1"/>
  <c r="H72" i="1"/>
  <c r="H143" i="1"/>
  <c r="H31" i="1"/>
  <c r="H56" i="1"/>
  <c r="H44" i="1"/>
  <c r="H80" i="1"/>
  <c r="H161" i="1"/>
  <c r="H200" i="1"/>
  <c r="H224" i="1"/>
  <c r="H295" i="1"/>
  <c r="H52" i="1"/>
  <c r="H105" i="1"/>
  <c r="H128" i="1"/>
  <c r="H172" i="1"/>
  <c r="H240" i="1"/>
  <c r="H435" i="1"/>
  <c r="H19" i="1"/>
  <c r="H89" i="1"/>
  <c r="H122" i="1"/>
  <c r="H50" i="1"/>
  <c r="H71" i="1"/>
  <c r="H102" i="1"/>
  <c r="H137" i="1"/>
  <c r="H201" i="1"/>
  <c r="H234" i="1"/>
  <c r="H486" i="1"/>
  <c r="H61" i="1"/>
  <c r="H109" i="1"/>
  <c r="H140" i="1"/>
  <c r="H155" i="1"/>
  <c r="H174" i="1"/>
  <c r="H242" i="1"/>
  <c r="H189" i="1"/>
  <c r="H542" i="1"/>
  <c r="H558" i="1"/>
  <c r="H157" i="1"/>
  <c r="H258" i="1"/>
  <c r="H291" i="1"/>
  <c r="H150" i="1"/>
  <c r="H286" i="1"/>
  <c r="H302" i="1"/>
  <c r="H519" i="1"/>
  <c r="H535" i="1"/>
  <c r="H280" i="1"/>
  <c r="H293" i="1"/>
  <c r="H410" i="1"/>
  <c r="H461" i="1"/>
  <c r="H525" i="1"/>
  <c r="H581" i="1"/>
  <c r="H274" i="1"/>
  <c r="H294" i="1"/>
  <c r="H552" i="1"/>
  <c r="H568" i="1"/>
  <c r="H570" i="1"/>
  <c r="H298" i="1"/>
  <c r="H531" i="1"/>
  <c r="H289" i="1"/>
  <c r="H406" i="1"/>
  <c r="H521" i="1"/>
  <c r="H266" i="1"/>
  <c r="H465" i="1"/>
  <c r="H564" i="1"/>
  <c r="H14" i="1"/>
  <c r="H141" i="1"/>
  <c r="H55" i="1"/>
  <c r="H76" i="1"/>
  <c r="H159" i="1"/>
  <c r="H38" i="1"/>
  <c r="H575" i="1"/>
  <c r="H54" i="1"/>
  <c r="H130" i="1"/>
  <c r="H169" i="1"/>
  <c r="H208" i="1"/>
  <c r="H228" i="1"/>
  <c r="H499" i="1"/>
  <c r="H25" i="1"/>
  <c r="H73" i="1"/>
  <c r="H113" i="1"/>
  <c r="H153" i="1"/>
  <c r="H176" i="1"/>
  <c r="H244" i="1"/>
  <c r="H151" i="1"/>
  <c r="H36" i="1"/>
  <c r="H99" i="1"/>
  <c r="H17" i="1"/>
  <c r="H58" i="1"/>
  <c r="H79" i="1"/>
  <c r="H111" i="1"/>
  <c r="H147" i="1"/>
  <c r="H204" i="1"/>
  <c r="H248" i="1"/>
  <c r="H474" i="1"/>
  <c r="H69" i="1"/>
  <c r="H116" i="1"/>
  <c r="H142" i="1"/>
  <c r="H158" i="1"/>
  <c r="H187" i="1"/>
  <c r="H256" i="1"/>
  <c r="H148" i="1"/>
  <c r="H203" i="1"/>
  <c r="H423" i="1"/>
  <c r="H546" i="1"/>
  <c r="H562" i="1"/>
  <c r="H171" i="1"/>
  <c r="H279" i="1"/>
  <c r="H301" i="1"/>
  <c r="H168" i="1"/>
  <c r="H288" i="1"/>
  <c r="H417" i="1"/>
  <c r="H523" i="1"/>
  <c r="H539" i="1"/>
  <c r="H297" i="1"/>
  <c r="H415" i="1"/>
  <c r="H497" i="1"/>
  <c r="H529" i="1"/>
  <c r="H594" i="1"/>
  <c r="H276" i="1"/>
  <c r="H296" i="1"/>
  <c r="H556" i="1"/>
  <c r="H572" i="1"/>
  <c r="H32" i="1"/>
  <c r="H57" i="1"/>
  <c r="H97" i="1"/>
  <c r="H92" i="1"/>
  <c r="H46" i="1"/>
  <c r="H16" i="1"/>
  <c r="H138" i="1"/>
  <c r="H211" i="1"/>
  <c r="H236" i="1"/>
  <c r="H34" i="1"/>
  <c r="H86" i="1"/>
  <c r="H115" i="1"/>
  <c r="H164" i="1"/>
  <c r="H196" i="1"/>
  <c r="H270" i="1"/>
  <c r="H10" i="1"/>
  <c r="H59" i="1"/>
  <c r="H101" i="1"/>
  <c r="H23" i="1"/>
  <c r="H63" i="1"/>
  <c r="H84" i="1"/>
  <c r="H118" i="1"/>
  <c r="H160" i="1"/>
  <c r="H223" i="1"/>
  <c r="H252" i="1"/>
  <c r="H77" i="1"/>
  <c r="H124" i="1"/>
  <c r="H145" i="1"/>
  <c r="H163" i="1"/>
  <c r="H190" i="1"/>
  <c r="H587" i="1"/>
  <c r="H165" i="1"/>
  <c r="H408" i="1"/>
  <c r="H426" i="1"/>
  <c r="H550" i="1"/>
  <c r="H566" i="1"/>
  <c r="H206" i="1"/>
  <c r="H285" i="1"/>
  <c r="H469" i="1"/>
  <c r="H195" i="1"/>
  <c r="H261" i="1"/>
  <c r="H292" i="1"/>
  <c r="H421" i="1"/>
  <c r="H527" i="1"/>
  <c r="H595" i="1"/>
  <c r="H283" i="1"/>
  <c r="H299" i="1"/>
  <c r="H419" i="1"/>
  <c r="H517" i="1"/>
  <c r="H533" i="1"/>
  <c r="H260" i="1"/>
  <c r="H284" i="1"/>
  <c r="H300" i="1"/>
  <c r="H544" i="1"/>
  <c r="H560" i="1"/>
  <c r="H588" i="1"/>
  <c r="H412" i="1"/>
  <c r="H192" i="1"/>
  <c r="H272" i="1"/>
  <c r="H515" i="1"/>
  <c r="H454" i="1"/>
  <c r="H290" i="1"/>
  <c r="H18" i="1"/>
  <c r="H500" i="1"/>
  <c r="H488" i="1"/>
  <c r="H576" i="1"/>
  <c r="H422" i="1"/>
  <c r="H194" i="1"/>
  <c r="H428" i="1"/>
  <c r="H578" i="1"/>
  <c r="H184" i="1"/>
  <c r="H281" i="1"/>
  <c r="H464" i="1"/>
  <c r="H127" i="1"/>
  <c r="H574" i="1"/>
  <c r="H12" i="1"/>
  <c r="H70" i="1"/>
  <c r="H593" i="1"/>
  <c r="H597" i="1"/>
  <c r="H472" i="1"/>
  <c r="H598" i="1"/>
  <c r="H477" i="1"/>
  <c r="H259" i="1"/>
  <c r="H232" i="1"/>
  <c r="H13" i="1"/>
  <c r="H144" i="1"/>
  <c r="H599" i="1"/>
  <c r="H9" i="1"/>
  <c r="H573" i="1"/>
  <c r="H600" i="1"/>
  <c r="H582" i="1"/>
  <c r="H583" i="1"/>
  <c r="H584" i="1"/>
</calcChain>
</file>

<file path=xl/sharedStrings.xml><?xml version="1.0" encoding="utf-8"?>
<sst xmlns="http://schemas.openxmlformats.org/spreadsheetml/2006/main" count="1904" uniqueCount="1315">
  <si>
    <t>UNIVERSIDADE FEDERAL DA BAHIA</t>
  </si>
  <si>
    <t>SUPERINTENDÊNCIA DE MEIO AMBIENTE E INFRAESTRUTURA</t>
  </si>
  <si>
    <t>COORDENAÇÃO DE ORÇAMENTO E PLANEJAMENTO</t>
  </si>
  <si>
    <t>Obra:</t>
  </si>
  <si>
    <t>Data:</t>
  </si>
  <si>
    <t>OUTUBRO/2020</t>
  </si>
  <si>
    <t>ATUALIZAÇÃO:</t>
  </si>
  <si>
    <t>Reparos e Pequenas Reforma das Unidades da Universidade Federal da Bahia</t>
  </si>
  <si>
    <t>Endereço:</t>
  </si>
  <si>
    <t>Área (m²):</t>
  </si>
  <si>
    <t>Campi da Universidade Federal, Salvador - Bahia</t>
  </si>
  <si>
    <t>ITEM</t>
  </si>
  <si>
    <t>CÓDIGO</t>
  </si>
  <si>
    <t>DISCRIMINAÇÃO DOS SERVIÇOS</t>
  </si>
  <si>
    <t>UNIDADE</t>
  </si>
  <si>
    <t>QUANTIDADE</t>
  </si>
  <si>
    <t>P. UNITÁRIO</t>
  </si>
  <si>
    <t>PREÇO TOTAL</t>
  </si>
  <si>
    <t xml:space="preserve"> </t>
  </si>
  <si>
    <t>11.09.2020 / ORSE JUNHO</t>
  </si>
  <si>
    <t>SERVIÇOS DE MOBILIZAÇÃO</t>
  </si>
  <si>
    <t>1.1</t>
  </si>
  <si>
    <t>CAMINHÃO TOCO, PBT 14.300 KG, CARGA ÚTIL MÁX. 9.710 KG, DIST</t>
  </si>
  <si>
    <t>H</t>
  </si>
  <si>
    <t>1.2</t>
  </si>
  <si>
    <t>SERVENTE COM ENCARGOS COMPLEMENTARES</t>
  </si>
  <si>
    <t>1.3</t>
  </si>
  <si>
    <t>S00051</t>
  </si>
  <si>
    <t>PLACA DE OBRA EM CHAPA DE ACO GALVANIZADO (12 UNIDADES DE 7,48M2)</t>
  </si>
  <si>
    <t>M2</t>
  </si>
  <si>
    <t>1.4</t>
  </si>
  <si>
    <t>EXECUÇÃO DE ESCRITÓRIO EM CANTEIRO DE OBRA EM CHAPA DE MADEIRA COMPENSADA, NÃO INCLUSO MOBILIÁRIO E EQUIPAMENTOS. AF_02/2016</t>
  </si>
  <si>
    <t>1.5</t>
  </si>
  <si>
    <t>EXECUÇÃO DE ALMOXARIFADO EM CANTEIRO DE OBRA EM CHAPA DE MADEIRA COMPENSADA, INCLUSO PRATELEIRAS. AF_02/2016</t>
  </si>
  <si>
    <t>1.6</t>
  </si>
  <si>
    <t>EXECUÇÃO DE REFEITÓRIO EM CANTEIRO DE OBRA EM CHAPA DE MADEIRA COMPENSADA, NÃO INCLUSO MOBILIÁRIO E EQUIPAMENTOS. AF_02/2016</t>
  </si>
  <si>
    <t>1.7</t>
  </si>
  <si>
    <t>S07179</t>
  </si>
  <si>
    <t>M</t>
  </si>
  <si>
    <t>1.8</t>
  </si>
  <si>
    <t>PINTURA COM TINTA ALQUÍDICA DE ACABAMENTO (ESMALTE SINTÉTICO ACETINADO) APLICADA A ROLO OU PINCEL SOBRE SUPERFÍCIES METÁLICAS</t>
  </si>
  <si>
    <t>DEMOLIÇÕES E RETIRADAS</t>
  </si>
  <si>
    <t>2.1</t>
  </si>
  <si>
    <t>REMOÇÃO DE TUBULAÇÕES (TUBOS E CONEXÕES)</t>
  </si>
  <si>
    <t>2.2</t>
  </si>
  <si>
    <t>S00031</t>
  </si>
  <si>
    <t>RETIRADA DE PORTAS E JANELAS, INCLUSIVE BATENTES</t>
  </si>
  <si>
    <t>2.3</t>
  </si>
  <si>
    <t>S04942</t>
  </si>
  <si>
    <t>RETIRADA DE ESQUADRIAS METALICAS</t>
  </si>
  <si>
    <t>2.4</t>
  </si>
  <si>
    <t>REMOÇÃO DE LOUÇAS, DE FORMA MANUAL, SEM REAPROVEITAMENTO</t>
  </si>
  <si>
    <t>UND</t>
  </si>
  <si>
    <t>2.5</t>
  </si>
  <si>
    <t>REMOÇÃO DE CABOS ELÉTRICOS, DE FORMA MANUAL, SEM REAPROVEITAMENTO</t>
  </si>
  <si>
    <t>2.6</t>
  </si>
  <si>
    <t>S04943</t>
  </si>
  <si>
    <t>REMOÇÃO DE TELHAMENTO COM TELHAS ONDULADAS</t>
  </si>
  <si>
    <t>2.7</t>
  </si>
  <si>
    <t>REMOÇÃO DE TELHAS CERAMICAS OU DE VIDRO</t>
  </si>
  <si>
    <t>2.8</t>
  </si>
  <si>
    <t>REMOÇÃO DE TRAMA DE MADEIRA PARA COBERTURA</t>
  </si>
  <si>
    <t>2.9</t>
  </si>
  <si>
    <t>REMOÇÃO DE TESOURAS DE MADEIRA</t>
  </si>
  <si>
    <t>2.10</t>
  </si>
  <si>
    <t>DEMOLICAO DE ALVENARIA DE TIJOLOS</t>
  </si>
  <si>
    <t>M3</t>
  </si>
  <si>
    <t>2.11</t>
  </si>
  <si>
    <t>DEMOLICAO DE ALVENARIA DE ELEMENTOS CERAMICOS VAZADOS</t>
  </si>
  <si>
    <t>2.12</t>
  </si>
  <si>
    <t>S00015</t>
  </si>
  <si>
    <t>DEMOLIÇÃO DE PAVIMENTAÇÃO ASFÁLTICA</t>
  </si>
  <si>
    <t>2.13</t>
  </si>
  <si>
    <t>S00016</t>
  </si>
  <si>
    <t>2.14</t>
  </si>
  <si>
    <t>REMOCAO DE TOMADAS OU INTERRUPTORES ELETRICOS</t>
  </si>
  <si>
    <t>2.15</t>
  </si>
  <si>
    <t>2.16</t>
  </si>
  <si>
    <t xml:space="preserve">ESCAVAÇÃO MANUAL DE VALAS. AF_03/2016 </t>
  </si>
  <si>
    <t>2.17</t>
  </si>
  <si>
    <t>S00046</t>
  </si>
  <si>
    <t>DEMOLIÇÃO DE TUBO DE CONCRETO DIÂMETROS DIVERSOS</t>
  </si>
  <si>
    <t>2.18</t>
  </si>
  <si>
    <t>REMOÇÃO DE LUMINÁRIAS, DE FORMA MANUAL, SEM REAPROVEITAMENTO</t>
  </si>
  <si>
    <t>2.19</t>
  </si>
  <si>
    <t>S0012</t>
  </si>
  <si>
    <t>DEMOLICAO DE FORRO</t>
  </si>
  <si>
    <t>2.20</t>
  </si>
  <si>
    <t xml:space="preserve">RASGO EM CONTRAPISO PARA RAMAIS/ DISTRIBUIÇÃO </t>
  </si>
  <si>
    <t>2.21</t>
  </si>
  <si>
    <t>FURO EM CONCRETO PARA DIÂMETROS MENORES OU IGUAIS A 40 MM. AF_05/2015</t>
  </si>
  <si>
    <t>2.22</t>
  </si>
  <si>
    <t>RASGO EM ALVENARIA PARA RAMAIS/ DISTRIBUIÇÃO COM DIAMETROS MENORES OU IGUAIS A 40 MM. AF_05/2015</t>
  </si>
  <si>
    <t>2.23</t>
  </si>
  <si>
    <t>REATERRO MANUAL APILOADO COM SOQUETE</t>
  </si>
  <si>
    <t>2.24</t>
  </si>
  <si>
    <t>S02521</t>
  </si>
  <si>
    <t>COMPACTACAO MECANICA A 95% DO PROCTOR NORMAL - PAVIMENTACAO URBANA</t>
  </si>
  <si>
    <t>2.25</t>
  </si>
  <si>
    <t>S03024</t>
  </si>
  <si>
    <t>REMOÇÃO DE ATERRAMENTO</t>
  </si>
  <si>
    <t>2.26</t>
  </si>
  <si>
    <t>S00013</t>
  </si>
  <si>
    <t>DEMOLICAO DE CONCRETO MANUALMENTE</t>
  </si>
  <si>
    <t>2.27</t>
  </si>
  <si>
    <t>DEMOLIÇÃO DE PILARES E VIGAS EM CONCRETO ARMADO, DE FORMA MANUAL</t>
  </si>
  <si>
    <t>2.28</t>
  </si>
  <si>
    <t>S08387</t>
  </si>
  <si>
    <t>REMOÇÃO DE BANCADA</t>
  </si>
  <si>
    <t>2.29</t>
  </si>
  <si>
    <t>S03747</t>
  </si>
  <si>
    <t>2.30</t>
  </si>
  <si>
    <t>S07218</t>
  </si>
  <si>
    <t>REMOÇÃO DE IMPERMEABILIZAÇÃO COM MANTA ASFÁLTICA</t>
  </si>
  <si>
    <t>2.31</t>
  </si>
  <si>
    <t>S03240</t>
  </si>
  <si>
    <t>DEMOLICAO DE PISO DE ALTA RESISTENCIA</t>
  </si>
  <si>
    <t>2.32</t>
  </si>
  <si>
    <t>DEMOLICAO DE REVESTIMENTO DE ARGAMASSA DE CAL E AREIA</t>
  </si>
  <si>
    <t>2.33</t>
  </si>
  <si>
    <t>S00035</t>
  </si>
  <si>
    <t>DEMOLIÇÃO DE PISO VINÍLICO</t>
  </si>
  <si>
    <t>2.34</t>
  </si>
  <si>
    <t>S08337</t>
  </si>
  <si>
    <t>REMOÇÃO DE PEITORIL</t>
  </si>
  <si>
    <t>2.35</t>
  </si>
  <si>
    <t>REMOCAO DE VIDRO COMUM</t>
  </si>
  <si>
    <t>2.36</t>
  </si>
  <si>
    <t>DEMOLIÇÃO DE REVESTIMENTO CERÂMICO</t>
  </si>
  <si>
    <t>2.37</t>
  </si>
  <si>
    <t>S07725</t>
  </si>
  <si>
    <t>REMOÇÃO DE PINTURA</t>
  </si>
  <si>
    <t>2.38</t>
  </si>
  <si>
    <t>S00032</t>
  </si>
  <si>
    <t>REMOCAO DE PISO EM CARPETE</t>
  </si>
  <si>
    <t>2.39</t>
  </si>
  <si>
    <t>S00019</t>
  </si>
  <si>
    <t>DEMOLIÇÃO DE PISO DE MADEIRA/TACO</t>
  </si>
  <si>
    <t>2.40</t>
  </si>
  <si>
    <t>S00023</t>
  </si>
  <si>
    <t>DEMOLIÇÃO DE DIVISÓRIAS DIVILUX OU SIMILAR</t>
  </si>
  <si>
    <t>2.41</t>
  </si>
  <si>
    <t>S11912</t>
  </si>
  <si>
    <t>2.42</t>
  </si>
  <si>
    <t>REMOÇÃO DE TAPUME/ CHAPAS METÁLICAS E DE MADEIRA, DE FORMA MANUAL, SEM REAPROVEITAMENTO. AF_12/2017</t>
  </si>
  <si>
    <t>2.43</t>
  </si>
  <si>
    <t>S02456</t>
  </si>
  <si>
    <t>REMOÇÃO DE PISO EM MÁRMORE</t>
  </si>
  <si>
    <t xml:space="preserve"> M2 </t>
  </si>
  <si>
    <t>2.44</t>
  </si>
  <si>
    <t>S10235</t>
  </si>
  <si>
    <t>RETIRADA DE RODAPÉ DE MADEIRA</t>
  </si>
  <si>
    <t xml:space="preserve"> M </t>
  </si>
  <si>
    <t>2.45</t>
  </si>
  <si>
    <t>REMOÇÃO DE TELHAS, DE FIBROCIMENTO, METÁLICA E CERÂMICA, DE FORMA MANUAL, SEM REAPROVEITAMENTO. AF_12/2017</t>
  </si>
  <si>
    <t>2.46</t>
  </si>
  <si>
    <t>S00011</t>
  </si>
  <si>
    <t>RETIRADA DE TELHA DE CIMENTO AMIANTO TIPO CANALETE 45 e 90 E ONDULADA</t>
  </si>
  <si>
    <t>2.47</t>
  </si>
  <si>
    <t>S00043</t>
  </si>
  <si>
    <t>RETIRADA DE CALHAS</t>
  </si>
  <si>
    <t>2.48</t>
  </si>
  <si>
    <t>S11145</t>
  </si>
  <si>
    <t>DEMOLICAO DE ALVENARIA ESTRUTURAL DE BLOCOS VAZADOS DE CONCRETO</t>
  </si>
  <si>
    <t xml:space="preserve"> M3 </t>
  </si>
  <si>
    <t>2.49</t>
  </si>
  <si>
    <t>TRANSPORTE HORIZONTAL COM JERICA DE 60 L, DE MASSA/ GRANEL</t>
  </si>
  <si>
    <t>M3XKM</t>
  </si>
  <si>
    <t>2.50</t>
  </si>
  <si>
    <t>CARGA MANUAL DE ENTULHO EM CAMINHAO BASCULANTE 6 M3</t>
  </si>
  <si>
    <t>2.51</t>
  </si>
  <si>
    <t>TRANSPORTE COM CAMINHÃO BASCULANTE DE 6 M3, EM VIA URBANA PAVIMENTADA, DMT ATÉ 30 KM (UNIDADE: M3XKM). AF_01/2018</t>
  </si>
  <si>
    <t>ALVENARIAS E DIVISÓRIAS</t>
  </si>
  <si>
    <t>3.1</t>
  </si>
  <si>
    <t>(COMPOSIÇÃO REPRESENTATIVA) DO SERVIÇO DE ALVENARIA DE VEDAÇÃO DE BLOCOS VAZADOS DE CERÂMICA DE 9X19X19CM (ESPESSURA 9CM), PARA EDIFICAÇÃO HABITACIONAL UNIFAMILIAR (CASA) E EDIFICAÇÃO PÚBLICA PADRÃO. AF_11/2014</t>
  </si>
  <si>
    <t>3.2</t>
  </si>
  <si>
    <t>(COMPOSIÇÃO REPRESENTATIVA) DO SERVIÇO DE ALVENARIA DE VEDAÇÃO DE BLOCOS VAZADOS DE CERÂMICA DE 14X9X19CM (ESPESSURA 14CM), PARA EDIFICAÇÃO HABITACIONAL UNIFAMILIAR (CASA) E EDIFICAÇÃO PÚBLICA PADRÃO. AF_12/2014</t>
  </si>
  <si>
    <t>3.3</t>
  </si>
  <si>
    <t>ALVENARIA DE VEDAÇÃO DE BLOCOS VAZADOS DE CONCRETO DE 9X19X39CM (ESPESSURA 9CM) DE PAREDES COM ÁREA LÍQUIDA MAIOR OU IGUAL A 6M² SEM VÃOS E ARGAMASSA DE ASSENTAMENTO COM PREPARO MANUAL. AF_06/2014</t>
  </si>
  <si>
    <t>3.4</t>
  </si>
  <si>
    <t>ALVENARIA DE BLOCOS DE CONCRETO ESTRUTURAL 14X19X39 CM, (ESPESSURA 14 CM)</t>
  </si>
  <si>
    <t>3.5</t>
  </si>
  <si>
    <t>VERGA PRÉ-MOLDADA PARA JANELAS COM ATÉ 1,5 M DE VÃO. AF_03/2016</t>
  </si>
  <si>
    <t>3.6</t>
  </si>
  <si>
    <t>VERGA PRÉ-MOLDADA PARA PORTAS COM ATÉ 1,5 M DE VÃO. AF_03/2016</t>
  </si>
  <si>
    <t>3.7</t>
  </si>
  <si>
    <t>93185</t>
  </si>
  <si>
    <t>VERGA PRÉ-MOLDADA PARA PORTAS COM MAIS DE 1,5 M DE VÃO. AF_03/2016</t>
  </si>
  <si>
    <t>3.8</t>
  </si>
  <si>
    <t>93195</t>
  </si>
  <si>
    <t>CONTRAVERGA PRÉ-MOLDADA PARA VÃOS DE MAIS DE 1,5 M DE COMPRIMENTO. AF_03/2016</t>
  </si>
  <si>
    <t>3.9</t>
  </si>
  <si>
    <t>FIXAÇÃO (ENCUNHAMENTO) DE ALVENARIA DE VEDAÇÃO COM ARGAMASSA APLICADA COM BISNAGA. AF_03/2016</t>
  </si>
  <si>
    <t>3.10</t>
  </si>
  <si>
    <t>S00191</t>
  </si>
  <si>
    <t>3.11</t>
  </si>
  <si>
    <t>S11389</t>
  </si>
  <si>
    <t>3.12</t>
  </si>
  <si>
    <t>S10410</t>
  </si>
  <si>
    <t>3.13</t>
  </si>
  <si>
    <t>3.14</t>
  </si>
  <si>
    <t>3.15</t>
  </si>
  <si>
    <t>S09935</t>
  </si>
  <si>
    <t>COMBOGÓ CERÂMICO</t>
  </si>
  <si>
    <t>3.16</t>
  </si>
  <si>
    <t>S00170</t>
  </si>
  <si>
    <t>COMBOGÓ DE CIMENTO TIPO ESCAMA 40X40CM</t>
  </si>
  <si>
    <t>3.17</t>
  </si>
  <si>
    <t>S00173</t>
  </si>
  <si>
    <t>3.18</t>
  </si>
  <si>
    <t>S00092</t>
  </si>
  <si>
    <t>3.19</t>
  </si>
  <si>
    <t>ALVENARIA DE EMBASAMENTO COM BLOCO ESTRUTURAL DE CONCRETO, DE 14X19X29</t>
  </si>
  <si>
    <t>3.20</t>
  </si>
  <si>
    <t>DIVISÓRIA - REMANEJAMENTO</t>
  </si>
  <si>
    <t>PAVIMENTAÇÃO</t>
  </si>
  <si>
    <t>4.1</t>
  </si>
  <si>
    <t>4.2</t>
  </si>
  <si>
    <t>S02227</t>
  </si>
  <si>
    <t>4.3</t>
  </si>
  <si>
    <t>S02266</t>
  </si>
  <si>
    <t>SOLEIRA GRANITO CINZA CORUMBÁ 15CM, TIPO RETA, ESP. 2CM, ASSENTADO SOBRE ARGAMASSA, FORNECIMENTO E INSTALAÇÃO</t>
  </si>
  <si>
    <t>4.4</t>
  </si>
  <si>
    <t xml:space="preserve">PISO CIMENTADO TRACO 1:3 (CIMENTO E AREIA), COM ACABAMENTO RUSTICO </t>
  </si>
  <si>
    <t>4.5</t>
  </si>
  <si>
    <t>REVESTIMENTO CERÂMICO PARA PISO TIPO PORCELANATO</t>
  </si>
  <si>
    <t>4.6</t>
  </si>
  <si>
    <t>S02276</t>
  </si>
  <si>
    <t>4.7</t>
  </si>
  <si>
    <t>4.8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</si>
  <si>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</si>
  <si>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>4.9</t>
  </si>
  <si>
    <t>S10169</t>
  </si>
  <si>
    <t>4.10</t>
  </si>
  <si>
    <t>S05022</t>
  </si>
  <si>
    <t>ENCERAMENTO DE PISO DE ALTA RESISTÊNCIA (NOVO OU EXISTENTE)</t>
  </si>
  <si>
    <t>4.11</t>
  </si>
  <si>
    <t>S04864</t>
  </si>
  <si>
    <t>4.12</t>
  </si>
  <si>
    <t>S07323</t>
  </si>
  <si>
    <t>4.13</t>
  </si>
  <si>
    <t>S07223</t>
  </si>
  <si>
    <t>4.14</t>
  </si>
  <si>
    <t>RECOLOCACAO DE TACOS DE MADEIRA COM REAPROVEITAMENTO DE MATERIAL E ASSENTAMENTO COM ARGAMASSA 1:4 (CIMENTO E AREIA)</t>
  </si>
  <si>
    <t>4.15</t>
  </si>
  <si>
    <t>73734/001</t>
  </si>
  <si>
    <t>PISO EM TACO DE MADEIRA 7X21CM, ASSENTADO COM ARGAMASSA TRACO 1:4 (CIMENTO E AREIA MEDIA)</t>
  </si>
  <si>
    <t>4.16</t>
  </si>
  <si>
    <t>RASPAGEM / CALAFETACAO TACOS MADEIRA 1 DEMAO CERA</t>
  </si>
  <si>
    <t>4.17</t>
  </si>
  <si>
    <t xml:space="preserve">POLIMENTO E ENCERAMENTO DE PISO EM MADEIRA </t>
  </si>
  <si>
    <t>4.18</t>
  </si>
  <si>
    <t>S02187</t>
  </si>
  <si>
    <t>POLIMENTO DE PISO DE ALTA RESISTÊNCIA EXISTENTE</t>
  </si>
  <si>
    <t>4.19</t>
  </si>
  <si>
    <t>S09776</t>
  </si>
  <si>
    <t>REVESTIMENTO CERÂMICO 45X45CM PORTOBELLO PEI 5 OU SIMILAR - FORNECIMENTO E INSTALAÇÃO</t>
  </si>
  <si>
    <t>4.20</t>
  </si>
  <si>
    <t>EXECUÇÃO DE PAVIMENTO COM APLICAÇÃO DE CONCRETO ASFÁLTICO</t>
  </si>
  <si>
    <t>4.21</t>
  </si>
  <si>
    <t>EXECUÇÃO DE PÁTIO/ESTACIONAMENTO EM PISO INTERTRAVADO, COM BLOCO 16 FACES DE 22 X 11 CM, ESPESSURA 8 CM.</t>
  </si>
  <si>
    <t>4.22</t>
  </si>
  <si>
    <t>EXECUÇÃO DE PAVIMENTO COM APLICAÇÃO DE PRÉ-MISTURADO A FRIO</t>
  </si>
  <si>
    <t>4.23</t>
  </si>
  <si>
    <t>S09962</t>
  </si>
  <si>
    <t>4.24</t>
  </si>
  <si>
    <t>S05052</t>
  </si>
  <si>
    <t>PISO EM PLACA PRÉ-MOLDADA DE CONCRETO LEVE 1,20X0,60X0,05M INCLUSIVE ARMADURA 6.3MM - FORNECIMENTO E INSTALAÇÃO</t>
  </si>
  <si>
    <t>4.25</t>
  </si>
  <si>
    <t>S03726</t>
  </si>
  <si>
    <t>4.26</t>
  </si>
  <si>
    <t>PISO EM CONCRETO 20MPA PREPARO MECANICO, ESPESSURA 7 CM, COM ARMACAO EM TELA SOLDADA</t>
  </si>
  <si>
    <t>4.27</t>
  </si>
  <si>
    <t>S02342</t>
  </si>
  <si>
    <t>RASPAGEM, CALAFATEGEM, APLICAÇÃO DE SELADOR E POLIMENTO COM CERA (PISO TABUADO)</t>
  </si>
  <si>
    <t>4.28</t>
  </si>
  <si>
    <t>S00197</t>
  </si>
  <si>
    <t>MADEIRAMENTO EM MASSARANDUBA/MADEIRA DE LEI, ACABAMENTO APARELHADO, C/ RIPÃO 3,5 X 5,5CM E RIPA 5 X 1,5CM, EXCLUSIVE PEÇAS PRINCIPAIS (ESTRUTURA ASSOALHO)</t>
  </si>
  <si>
    <t>4.29</t>
  </si>
  <si>
    <t>S11706</t>
  </si>
  <si>
    <t>PAVIMENTAÇÃO EM PRE-MOLDADO TIPO CONCREGRAMA, MODELO PAVI-GRADE, DIM:45 X 60CM, E=9,5CM, SOBRE COLCHÃO DE AREIA, COM PREENCHIMENTO DOS VÃOS COM GRAMA</t>
  </si>
  <si>
    <t>4.30</t>
  </si>
  <si>
    <t>S02211</t>
  </si>
  <si>
    <t>PISO EM GRANITO CINZA ANDORINHA, E=2CM, POLIDO, APLICADO COM ARGAMASSA INDUSTRIALIZADA AC-II, REJUNTADO, EXCLUSIVE REGULARIZAÇÃO DE BASE</t>
  </si>
  <si>
    <t>4.31</t>
  </si>
  <si>
    <t>RODAPE EM MADEIRA, ALTURA 7CM, FIXADO COM COLA</t>
  </si>
  <si>
    <t>4.32</t>
  </si>
  <si>
    <t>S02234</t>
  </si>
  <si>
    <t>RASPAGEM E ENCERAMENTO DE RODAPÉ DE MADEIRA (100% RODAPÉ)</t>
  </si>
  <si>
    <t>4.33</t>
  </si>
  <si>
    <t>S09543</t>
  </si>
  <si>
    <t xml:space="preserve">RECUPERAÇÃO DE MADEIRA COM PÓ DE SERRA E COLA BRANCA </t>
  </si>
  <si>
    <t>4.34</t>
  </si>
  <si>
    <t>S11233</t>
  </si>
  <si>
    <t>RODAPÉ ALTA RESISTÊNCIA H=10 CM MEIA-CANA</t>
  </si>
  <si>
    <t>4.35</t>
  </si>
  <si>
    <t>EXECUÇÃO DE PAVIMENTO EM PISO INTERTRAVADO, COM BLOCO SEXTAVADO DE 25X 25 CM, ESPESSURA 10 CM. AF_12/2015</t>
  </si>
  <si>
    <t>REVESTIMENTOS</t>
  </si>
  <si>
    <t>5.1</t>
  </si>
  <si>
    <t>S09604</t>
  </si>
  <si>
    <t>5.2</t>
  </si>
  <si>
    <t>(COMPOSIÇÃO REPRESENTATIVA) DO SERVIÇO DE EMBOÇO/MASSA ÚNICA</t>
  </si>
  <si>
    <t>5.3</t>
  </si>
  <si>
    <t>CHAPISCO APLICADO EM ALVENARIA (COM PRESENÇA DE VÃOS) E ESTRUTURAS DE CONCRETO DE FACHADA, COM COLHER DE PEDREIRO. ARGAMASSA TRAÇO 1:3 COM PREPARO EM BETONEIRA 400L. AF_06/2014</t>
  </si>
  <si>
    <t>5.4</t>
  </si>
  <si>
    <t>CHAPISCO APLICADO EM ALVENARIA (SEM PRESENÇA DE VÃOS) E ESTRUTURAS DE CONCRETO DE FACHADA, COM COLHER DE PEDREIRO. ARGAMASSA TRAÇO 1:3 COM PREPARO EM BETONEIRA 400L. AF_06/2014</t>
  </si>
  <si>
    <t>5.5</t>
  </si>
  <si>
    <t>S03318</t>
  </si>
  <si>
    <t>5.6</t>
  </si>
  <si>
    <t>REVESTIMENTO CERÂMICO PARA PAREDES EXTERNAS EM PASTILHAS DE PORCELANA 5 X 5 CM (PLACAS DE 30 X 30 CM), ALINHADAS A PRUMO, APLICADO EM PANOS COM VÃOS. AF_06/2014</t>
  </si>
  <si>
    <t>5.7</t>
  </si>
  <si>
    <t>S08858</t>
  </si>
  <si>
    <t>5.8</t>
  </si>
  <si>
    <t>S10787</t>
  </si>
  <si>
    <t>FORRO</t>
  </si>
  <si>
    <t>6.1</t>
  </si>
  <si>
    <t>FORRO EM PLACAS DE GESSO, PARA AMBIENTES RESIDENCIAIS</t>
  </si>
  <si>
    <t>6.2</t>
  </si>
  <si>
    <t>S09083</t>
  </si>
  <si>
    <t>6.3</t>
  </si>
  <si>
    <t>S05045</t>
  </si>
  <si>
    <t>FORRO DE PVC MEDABIL OU SIMILAR EM PLACAS - FORNECIMENTO E INSTALAÇÃO</t>
  </si>
  <si>
    <t>6.4</t>
  </si>
  <si>
    <t>FORRO EM MADEIRA PINUS, PARA AMBIENTES RESIDENCIAIS, INCLUSIVE ESTRUTURA DE FIXAÇÃO</t>
  </si>
  <si>
    <t>6.5</t>
  </si>
  <si>
    <t>S04449</t>
  </si>
  <si>
    <t>6.6</t>
  </si>
  <si>
    <t>S11492</t>
  </si>
  <si>
    <t>FORRO DE GESSO ACARTONADO REMOVÍVEL GESSOLYNE GYPSUM OU SIMILAR</t>
  </si>
  <si>
    <t>6.7</t>
  </si>
  <si>
    <t>S04491</t>
  </si>
  <si>
    <t>RESTAURO - RESTAURAÇÃO DE FORRO DE MADEIRA COMPREENDENDO RASPAGEM, CALAFETAGEM E PARQUETAGEM</t>
  </si>
  <si>
    <t>PINTURA</t>
  </si>
  <si>
    <t>7.1</t>
  </si>
  <si>
    <t>S03761</t>
  </si>
  <si>
    <t>7.2</t>
  </si>
  <si>
    <t xml:space="preserve">APLICAÇÃO DE FUNDO SELADOR LÁTEX PVA, UMA DEMÃO. </t>
  </si>
  <si>
    <t>7.3</t>
  </si>
  <si>
    <t xml:space="preserve">APLICAÇÃO E LIXAMENTO DE MASSA LÁTEX, UMA DEMÃO. </t>
  </si>
  <si>
    <t>7.4</t>
  </si>
  <si>
    <t>APLICAÇÃO MANUAL DE PINTURA COM TINTA LÁTEX ACRÍLICA DUAS DEMÃOS</t>
  </si>
  <si>
    <t>7.5</t>
  </si>
  <si>
    <t>74065/001</t>
  </si>
  <si>
    <t>PINTURA ESMALTE FOSCO PARA MADEIRA, DUAS DEMAOS, SOBRE FUNDO NIVELADOR BRANCO</t>
  </si>
  <si>
    <t>7.6</t>
  </si>
  <si>
    <t>7.7</t>
  </si>
  <si>
    <t>S04652</t>
  </si>
  <si>
    <t>7.8</t>
  </si>
  <si>
    <t xml:space="preserve">PINTURA ACRILICA DE FAIXAS DE DEMARCACAO, 5 CM </t>
  </si>
  <si>
    <t>7.9</t>
  </si>
  <si>
    <t>74245/001</t>
  </si>
  <si>
    <t>PINTURA ACRILICA EM PISO DUAS DEMAOS</t>
  </si>
  <si>
    <t>7.10</t>
  </si>
  <si>
    <t>APLICAÇÃO MANUAL DE PINTURA COM TINTA LÁTEX PVA EM PAREDES, DUAS DEMÃOS. AF_06/2014</t>
  </si>
  <si>
    <t>7.11</t>
  </si>
  <si>
    <t>APLICAÇÃO MANUAL DE PINTURA COM TINTA LÁTEX PVA EM TETO, DUAS DEMÃOS. AF_06/2014 (FORRO DE GESSO)</t>
  </si>
  <si>
    <t>7.12</t>
  </si>
  <si>
    <t>S04408</t>
  </si>
  <si>
    <t>RESTAURO - LAVAGEM DE PAREDES COM CLORO LÍQUIDO (1/3 PAREDES INTERNAS E EXTERNAS)</t>
  </si>
  <si>
    <t>7.13</t>
  </si>
  <si>
    <t>S08624</t>
  </si>
  <si>
    <t>7.14</t>
  </si>
  <si>
    <t>PINTURA ACRILICA PARA SINALIZAÇÃO HORIZONTAL EM PISO CIMENTADO</t>
  </si>
  <si>
    <t>ESQUADRIAS</t>
  </si>
  <si>
    <t>8.1</t>
  </si>
  <si>
    <t>S03764</t>
  </si>
  <si>
    <t>8.2</t>
  </si>
  <si>
    <t>S04066</t>
  </si>
  <si>
    <t>8.3</t>
  </si>
  <si>
    <t>S09982</t>
  </si>
  <si>
    <t>8.4</t>
  </si>
  <si>
    <t>S01816</t>
  </si>
  <si>
    <t>VISOR EM ALUMÍNIO COM VIDRO LISO 4MM 0,20X1,05M</t>
  </si>
  <si>
    <t>8.5</t>
  </si>
  <si>
    <t>S08957</t>
  </si>
  <si>
    <t>8.6</t>
  </si>
  <si>
    <t>FECHADURA DE EMBUTIR COM CILINDRO, EXTERNA, COMPLETA</t>
  </si>
  <si>
    <t>8.7</t>
  </si>
  <si>
    <t>PORTA EM ALUMÍNIO DE ABRIR TIPO VENEZIANA COM GUARNIÇÃO</t>
  </si>
  <si>
    <t>8.8</t>
  </si>
  <si>
    <t>S11940</t>
  </si>
  <si>
    <t>8.9</t>
  </si>
  <si>
    <t>VIDRO TEMPERADO INCOLOR, ESPESSURA 6MM, FORNECIMENTO E INSTALACAO</t>
  </si>
  <si>
    <t>8.10</t>
  </si>
  <si>
    <t>S01885</t>
  </si>
  <si>
    <t>8.11</t>
  </si>
  <si>
    <t>S01766</t>
  </si>
  <si>
    <t>8.12</t>
  </si>
  <si>
    <t>S01859</t>
  </si>
  <si>
    <t>REVISÃO DE ESQUADRIA DE FERRO</t>
  </si>
  <si>
    <t>8.13</t>
  </si>
  <si>
    <t>S01841</t>
  </si>
  <si>
    <t>REVISÃO DE ESQUADRIA DE ALUMÍNIO</t>
  </si>
  <si>
    <t>8.14</t>
  </si>
  <si>
    <t>S01797</t>
  </si>
  <si>
    <t>REVISÃO DE ESQUADRIA DE MADEIRA</t>
  </si>
  <si>
    <t>8.15</t>
  </si>
  <si>
    <t>S08040</t>
  </si>
  <si>
    <t>REMOÇÃO DE PINTURA A BASE ÓLEO OU ESMALTE</t>
  </si>
  <si>
    <t>8.16</t>
  </si>
  <si>
    <t>S04363</t>
  </si>
  <si>
    <t>RESTAURO - ENXERTO EM ESQUADRIAS DE MADEIRA COM APLICAÇÃO DE PASTA DE PÓ DE SERRA E COLA</t>
  </si>
  <si>
    <t>8.17</t>
  </si>
  <si>
    <t>KIT DE PORTA DE MADEIRA TIPO MEXICANA, MACIÇA (PESADA OU SUPERPESADA), PADRÃO MÉDIO, 80X210CM, ESPESSURA DE 3CM, ITENS INCLUSOS: DOBRADIÇAS, MONTAGEM E INSTALAÇÃO DO BATENTE, SEM FECHADURA - FORNECIMENTO E INSTALAÇÃO. AF_08/2015</t>
  </si>
  <si>
    <t xml:space="preserve"> UND </t>
  </si>
  <si>
    <t>8.18</t>
  </si>
  <si>
    <t>PORTA-PRONTA DE MADEIRA, FOLHA PESADA OU SUPERPESADA, 90X210CM, FIXAÇÃO COM PREENCHIMENTO TOTAL DE ESPUMA EXPANSIVA - FORNECIMENTO E INSTALAÇÃO. AF_08/2015</t>
  </si>
  <si>
    <t>8.19</t>
  </si>
  <si>
    <t>S03624</t>
  </si>
  <si>
    <t>PORTA EM MADEIRA COMPENSADA (CANELA), LISA, SEMI-ÔCA, 0.60 X 2.10 M, REVESTIDA C/FÓRMICA, INCLUSIVE BATENTES E FERRAGENS (LIVRE/OCUPADO)</t>
  </si>
  <si>
    <t>8.20</t>
  </si>
  <si>
    <t>S09983</t>
  </si>
  <si>
    <t>PORTA EM MADEIRA COMPENSADA (CANELA), LISA, SEMI-ÔCA, 1.00 X 2.10 M, REVESTIDA C/FÓRMICA, INCLUSIVE BATENTES E FERRAGENS</t>
  </si>
  <si>
    <t>8.21</t>
  </si>
  <si>
    <t>S08091</t>
  </si>
  <si>
    <t>BANDEIRA FIXA EM MADEIRA</t>
  </si>
  <si>
    <t>8.22</t>
  </si>
  <si>
    <t>S03623</t>
  </si>
  <si>
    <t>8.23</t>
  </si>
  <si>
    <t>PORTA CORTA-FOGO 90X210X4CM - FORNECIMENTO E INSTALAÇÃO. AF_08/2015</t>
  </si>
  <si>
    <t>8.24</t>
  </si>
  <si>
    <t>S08222</t>
  </si>
  <si>
    <t>PEITORIL GRANITO CINZA CORUMBÁ POLIDO, ESP = 2 CM</t>
  </si>
  <si>
    <t>SERRALHERIA</t>
  </si>
  <si>
    <t>9.1</t>
  </si>
  <si>
    <t>S03556</t>
  </si>
  <si>
    <t>9.2</t>
  </si>
  <si>
    <t>GUARDA-CORPO COM CORRIMAO EM TUBO DE ACO GALVANIZADO</t>
  </si>
  <si>
    <t>9.3</t>
  </si>
  <si>
    <t>S07967</t>
  </si>
  <si>
    <t>9.4</t>
  </si>
  <si>
    <t>REVISÃO DE GRADIL EXISTENTE</t>
  </si>
  <si>
    <t>9.5</t>
  </si>
  <si>
    <t>S04339</t>
  </si>
  <si>
    <t>GRADIL MODULAR CONFORME EXISTENTE INCLUSIVE 1 DEMÃO DE OXIBAR E 1 DEMÃO DE ESMALTE POLIURETANO</t>
  </si>
  <si>
    <t>9.6</t>
  </si>
  <si>
    <t>S4714</t>
  </si>
  <si>
    <t>9.7</t>
  </si>
  <si>
    <t>S01852</t>
  </si>
  <si>
    <t>GRADE TUBO FERRO GALVANIZADO 2.1/2"</t>
  </si>
  <si>
    <t>9.8</t>
  </si>
  <si>
    <t>S12105</t>
  </si>
  <si>
    <t>9.9</t>
  </si>
  <si>
    <t>S04264</t>
  </si>
  <si>
    <t>LOUÇAS E METAIS</t>
  </si>
  <si>
    <t>10.1</t>
  </si>
  <si>
    <t>S02055</t>
  </si>
  <si>
    <t>10.2</t>
  </si>
  <si>
    <t>S07370</t>
  </si>
  <si>
    <t>10.3</t>
  </si>
  <si>
    <t>S03692</t>
  </si>
  <si>
    <t>10.4</t>
  </si>
  <si>
    <t>S07345 MOD</t>
  </si>
  <si>
    <t>10.5</t>
  </si>
  <si>
    <t>S12101</t>
  </si>
  <si>
    <t>10.6</t>
  </si>
  <si>
    <t>S12620</t>
  </si>
  <si>
    <t>10.7</t>
  </si>
  <si>
    <t>S02066</t>
  </si>
  <si>
    <t>10.8</t>
  </si>
  <si>
    <t>S08235 MOD</t>
  </si>
  <si>
    <t>VÁLVULA DE DESCARGA ECO DUO OU SIMILAR - FORNECIMENTO E INSTALAÇÃO</t>
  </si>
  <si>
    <t>10.9</t>
  </si>
  <si>
    <t>S09703</t>
  </si>
  <si>
    <t>10.10</t>
  </si>
  <si>
    <t>S10759</t>
  </si>
  <si>
    <t>BANCADA EM GRANITO CINZA E=2CM</t>
  </si>
  <si>
    <t>10.11</t>
  </si>
  <si>
    <t>10.12</t>
  </si>
  <si>
    <t xml:space="preserve">TORNEIRA CROMADA TUBO MÓVEL, DE PAREDE, 1/2" OU 3/4", PARA PIA </t>
  </si>
  <si>
    <t>10.13</t>
  </si>
  <si>
    <t>SIFÃO DO TIPO GARRAFA EM METAL CROMADO 1 X 1.1/2" - FORNECIMENTO E INSTALAÇÃO</t>
  </si>
  <si>
    <t>10.14</t>
  </si>
  <si>
    <t>SIFÃO DO TIPO GARRAFA/COPO EM PVC 1.1/4 X 1.1/2" - FORNECIMENTO E INSTALAÇÃO</t>
  </si>
  <si>
    <t>10.15</t>
  </si>
  <si>
    <t xml:space="preserve">SIFÃO DO TIPO FLEXÍVEL EM PVC 1 X 1.1/2 - FORNECIMENTO E INSTALAÇÃO. </t>
  </si>
  <si>
    <t>10.16</t>
  </si>
  <si>
    <t>S12263</t>
  </si>
  <si>
    <t>10.17</t>
  </si>
  <si>
    <t>COMPOSIÇÃO</t>
  </si>
  <si>
    <t>PROTETOR DE IMPACTO EM AÇO INOXIDAVEL AISI 304 90X40CM</t>
  </si>
  <si>
    <t>10.18</t>
  </si>
  <si>
    <t>S12122</t>
  </si>
  <si>
    <t>BARRA DE APROXIMAÇÃO EM AÇO INOX RETA L=40CM, 1 1/2</t>
  </si>
  <si>
    <t>10.19</t>
  </si>
  <si>
    <t>S12128</t>
  </si>
  <si>
    <t>CJ</t>
  </si>
  <si>
    <t>10.20</t>
  </si>
  <si>
    <t>BARRA DE APOIO RETA, EM ACO INOX POLIDO, COMPRIMENTO 80 CM, FIXADA NA PAREDE - FORNECIMENTO E INSTALAÇÃO. AF_01/2020</t>
  </si>
  <si>
    <t>10.21</t>
  </si>
  <si>
    <t>BARRA DE APOIO RETA, EM ACO INOX POLIDO, COMPRIMENTO 70 CM</t>
  </si>
  <si>
    <t>10.22</t>
  </si>
  <si>
    <t>BARRA DE APOIO RETA, EM ACO INOX POLIDO, COMPRIMENTO 60CM</t>
  </si>
  <si>
    <t>10.23</t>
  </si>
  <si>
    <t>S12513</t>
  </si>
  <si>
    <t>10.24</t>
  </si>
  <si>
    <t>S09736</t>
  </si>
  <si>
    <t>10.25</t>
  </si>
  <si>
    <t>ESPELHO CRISTAL, ESPESSURA 4MM, COM PARAFUSOS DE FIXACAO, SEM MOLDURA</t>
  </si>
  <si>
    <t>10.26</t>
  </si>
  <si>
    <t>CHUVEIRO ELETRICO COMUM CORPO PLASTICO TIPO DUCHA, FORNECIMENTO E INSTALAÇÃO</t>
  </si>
  <si>
    <t>10.27</t>
  </si>
  <si>
    <t>S03461</t>
  </si>
  <si>
    <t>10.28</t>
  </si>
  <si>
    <t>S07785</t>
  </si>
  <si>
    <t>FILETE DE BOXE EM GRANITO CINZA CORUMBÁ POLIDO, ASSENTADO COM ARGAMASSA</t>
  </si>
  <si>
    <t>10.29</t>
  </si>
  <si>
    <t>S09721</t>
  </si>
  <si>
    <t xml:space="preserve">PRATELEIRA EM GRANITO CINZA </t>
  </si>
  <si>
    <t>10.30</t>
  </si>
  <si>
    <t>S02074</t>
  </si>
  <si>
    <t>10.31</t>
  </si>
  <si>
    <t>S02037</t>
  </si>
  <si>
    <t>CABIDE DE LOUÇA, DECA A680, BRANCO OU SIMILAR</t>
  </si>
  <si>
    <t>10.32</t>
  </si>
  <si>
    <t>PAPELEIRA DE PAREDE EM METAL CROMADO SEM TAMPA, INCLUSO FIXAÇÃO. AF_10/2016</t>
  </si>
  <si>
    <t>10.33</t>
  </si>
  <si>
    <t>S07609</t>
  </si>
  <si>
    <t>SABONETEIRA EM PLÁSTICO ABS, PARA SABONETE LÍQUIDO, DA JSN, REF. J7 OU SIMILAR</t>
  </si>
  <si>
    <t>10.34</t>
  </si>
  <si>
    <t>S07611</t>
  </si>
  <si>
    <t>PORTA-PAPEL HIGIÊNICO, LINHA DOMUS, REF. 102 C40, DA MEBER OU SIMILAR</t>
  </si>
  <si>
    <t>10.35</t>
  </si>
  <si>
    <t>TORNEIRA CROMADA TUBO MÓVEL, DE MESA, 1/2 OU 3/4, PARA PIA DE COZINHA, PADRÃO ALTO - FORNECIMENTO E INSTALAÇÃO. AF_12/2013</t>
  </si>
  <si>
    <t>10.36</t>
  </si>
  <si>
    <t>S09497</t>
  </si>
  <si>
    <t>TORNEIRA PARA LAVATÓRIO, DE MESA, BICA BAIXA, LINHA LINK, REF.1197 C.LNK, D=1/2, DA DECA OU SIMILAR</t>
  </si>
  <si>
    <t>10.37</t>
  </si>
  <si>
    <t>S01866</t>
  </si>
  <si>
    <t>FECHADURA (TARJETA) LIVRE-OCUPADO P/DIVISÓRIA EM MÁRMORE OU GRANITO, REF. TG0819 - IMAB OU SIMILAR, INCLUSIVE BATENTE COM AMORTECEDOR REF. BT0830000 - IMAB OU SIMILAR E PARAFUSOS</t>
  </si>
  <si>
    <t>INSTALAÇÕES HIDRÁULICAS</t>
  </si>
  <si>
    <t>11.1</t>
  </si>
  <si>
    <t>S01353</t>
  </si>
  <si>
    <t>PONTO DE ÁGUA FRIA EMBUTIDO 3/4"</t>
  </si>
  <si>
    <t>11.2</t>
  </si>
  <si>
    <t>S08260</t>
  </si>
  <si>
    <t>PONTO DE ÁGUA FRIA EMBUTIDO 40MM</t>
  </si>
  <si>
    <t>11.3</t>
  </si>
  <si>
    <t>TUBO, PVC, SOLDÁVEL, DN 25MM, INSTALADO EM RAMAL OU SUB-RAMAL DE ÁGUA</t>
  </si>
  <si>
    <t>11.4</t>
  </si>
  <si>
    <t xml:space="preserve">TUBO, PVC, SOLDÁVEL, DN 32MM, INSTALADO EM RAMAL OU SUB-RAMAL DE ÁGUA </t>
  </si>
  <si>
    <t>CASASHOW.COM.BR</t>
  </si>
  <si>
    <t>11.5</t>
  </si>
  <si>
    <t xml:space="preserve">TUBO, PVC, SOLDÁVEL, DN 40MM, INSTALADO EM PRUMADA DE ÁGUA </t>
  </si>
  <si>
    <t>11.6</t>
  </si>
  <si>
    <t xml:space="preserve">TUBO, PVC, SOLDÁVEL, DN 75MM, INSTALADO EM PRUMADA DE ÁGUA </t>
  </si>
  <si>
    <t>11.7</t>
  </si>
  <si>
    <t xml:space="preserve">TUBO PVC, SÉRIE R, ÁGUA PLUVIAL, DN 75 MM, FORNECIDO E INSTALADO </t>
  </si>
  <si>
    <t>11.8</t>
  </si>
  <si>
    <t>TUBO PVC, SÉRIE R, ÁGUA PLUVIAL, DN 100 MM, FORNECIDO E INSTALADO</t>
  </si>
  <si>
    <t>11.9</t>
  </si>
  <si>
    <t>TUBO PVC, SÉRIE R, ÁGUA PLUVIAL, DN 150 MM, FORNECIDO E INSTALADO</t>
  </si>
  <si>
    <t>11.10</t>
  </si>
  <si>
    <t>JOELHO 90 GRAUS, PVC, SOLDÁVEL, DN 25MM</t>
  </si>
  <si>
    <t>11.11</t>
  </si>
  <si>
    <t>JOELHO 90 GRAUS, PVC, SOLDÁVEL, DN 32MM</t>
  </si>
  <si>
    <t>11.12</t>
  </si>
  <si>
    <t>CURVA 90 GRAUS, PVC, SOLDÁVEL, DN 25MM</t>
  </si>
  <si>
    <t>11.13</t>
  </si>
  <si>
    <t>CURVA 90 GRAUS, PVC, SOLDÁVEL, DN 32MM</t>
  </si>
  <si>
    <t>11.14</t>
  </si>
  <si>
    <t>TE, PVC, SOLDÁVEL, DN 25MM</t>
  </si>
  <si>
    <t>11.15</t>
  </si>
  <si>
    <t>TE, PVC, SOLDÁVEL, DN 32MM</t>
  </si>
  <si>
    <t>11.16</t>
  </si>
  <si>
    <t>LUVA DE CORRER, PVC, SOLDÁVEL, DN 25MM</t>
  </si>
  <si>
    <t>11.17</t>
  </si>
  <si>
    <t>LUVA, PVC, SOLDÁVEL, DN 32MM</t>
  </si>
  <si>
    <t>11.18</t>
  </si>
  <si>
    <t>CAMINHÃO PARA EQUIPAMENTO DE LIMPEZA A SUCÇÃO, COM CAMINHÃO TRUCADO DE PESO BRUTO TOTAL 23000 KG, CARGA ÚTIL MÁXIMA 15935 KG, DISTÂNCIA ENTRE EIXOS 4,80 M, POTÊNCIA 230 CV, INCLUSIVE LIMPADORA A SUCÇÃO, TANQUE 12000 L - CHP DIURNO</t>
  </si>
  <si>
    <t>11.19</t>
  </si>
  <si>
    <t xml:space="preserve">KIT DE REGISTRO DE PRESSÃO BRUTO DE LATÃO ½", INCLUSIVE CONEXÕES </t>
  </si>
  <si>
    <t>11.20</t>
  </si>
  <si>
    <t>KIT DE REGISTRO DE PRESSÃO BRUTO DE LATÃO ¾", INCLUSIVE CONEXÕES</t>
  </si>
  <si>
    <t>11.21</t>
  </si>
  <si>
    <t>REGISTRO DE GAVETA BRUTO, LATÃO, ROSCÁVEL, 1 1/2, COM ACABAMENTO E CANOPLA CROMADOS</t>
  </si>
  <si>
    <t>11.22</t>
  </si>
  <si>
    <t>S1353</t>
  </si>
  <si>
    <t>PONTO HIDRÁULICO (ÁGUA FRIA) - EXECUÇÃO</t>
  </si>
  <si>
    <t>11.23</t>
  </si>
  <si>
    <t>S1200</t>
  </si>
  <si>
    <t>PONTO HIDRÁULICO (ÁGUA FRIA) - REMANEJAMENTO</t>
  </si>
  <si>
    <t>11.24</t>
  </si>
  <si>
    <t>S1683</t>
  </si>
  <si>
    <t>PONTO DE ESGÔTO SANITÁRIO - EXECUÇÃO</t>
  </si>
  <si>
    <t>11.25</t>
  </si>
  <si>
    <t>PONTO DE ESGÔTO SANITÁRIO - REMANEJAMENTO</t>
  </si>
  <si>
    <t>11.26</t>
  </si>
  <si>
    <t>S9502</t>
  </si>
  <si>
    <t>DUCHA HIGIÊNICA - FORNECIMENTO E INSTALAÇÃO</t>
  </si>
  <si>
    <t>INSTALAÇÕES SANITÁRIAS</t>
  </si>
  <si>
    <t>12.1</t>
  </si>
  <si>
    <t>S01679</t>
  </si>
  <si>
    <t>12.2</t>
  </si>
  <si>
    <t>S01678</t>
  </si>
  <si>
    <t>12.3</t>
  </si>
  <si>
    <t>S08342</t>
  </si>
  <si>
    <t>12.4</t>
  </si>
  <si>
    <t>S01683</t>
  </si>
  <si>
    <t>12.5</t>
  </si>
  <si>
    <t xml:space="preserve">TUBO PVC, SERIE NORMAL, ESGOTO PREDIAL, DN 50 MM, FORNECIDO E INSTALADO </t>
  </si>
  <si>
    <t>12.6</t>
  </si>
  <si>
    <t>TUBO PVC, SERIE NORMAL, ESGOTO PREDIAL, DN 75 MM, FORNECIDO E INSTALADO</t>
  </si>
  <si>
    <t>12.7</t>
  </si>
  <si>
    <t>TUBO PVC, SERIE NORMAL, ESGOTO PREDIAL, DN 100 MM, FORNECIDO E INSTALADO</t>
  </si>
  <si>
    <t>12.8</t>
  </si>
  <si>
    <t>JOELHO 90 GRAUS, PVC, SERIE NORMAL, ESGOTO PREDIAL, DN 50 MM, JUNTA ELÁSTICA, FORNECIDO E INSTALADO</t>
  </si>
  <si>
    <t>12.9</t>
  </si>
  <si>
    <t>JOELHO 90 GRAUS, PVC, SERIE NORMAL, ESGOTO PREDIAL, DN 75 MM</t>
  </si>
  <si>
    <t>12.10</t>
  </si>
  <si>
    <t>JOELHO 90 GRAUS, PVC, SERIE NORMAL, ESGOTO PREDIAL, DN 100 MM</t>
  </si>
  <si>
    <t>12.11</t>
  </si>
  <si>
    <t>LUVA SIMPLES, PVC, SERIE NORMAL, ESGOTO PREDIAL, DN 50 MM, JUNTA ELÁSTICA, FORNECIDO E INSTALADO EM RAMAL DE DESCARGA OU RAMAL DE ESGOTO SANITÁRIO. AF_12/2014</t>
  </si>
  <si>
    <t>12.12</t>
  </si>
  <si>
    <t>LUVA SIMPLES, PVC, SERIE NORMAL, ESGOTO PREDIAL, DN 75 MM, JUNTA ELÁSTICA, FORNECIDO E INSTALADO EM RAMAL DE DESCARGA OU RAMAL DE ESGOTO SANITÁRIO. AF_12/2014</t>
  </si>
  <si>
    <t>12.13</t>
  </si>
  <si>
    <t>TE, PVC, SERIE NORMAL, ESGOTO PREDIAL, DN 75 X 75 MM, JUNTA ELÁSTICA, FORNECIDO E INSTALADO EM RAMAL DE DESCARGA OU RAMAL DE ESGOTO SANITÁRIO. AF_12/2014</t>
  </si>
  <si>
    <t>12.14</t>
  </si>
  <si>
    <t>LUVA DE CORRER, PVC, SERIE NORMAL, ESGOTO PREDIAL, DN 100 MM, JUNTA ELÁSTICA, FORNECIDO E INSTALADO EM RAMAL DE DESCARGA OU RAMAL DE ESGOTO SANITÁRIO. AF_12/2014</t>
  </si>
  <si>
    <t>12.15</t>
  </si>
  <si>
    <t xml:space="preserve">TE, PVC, SERIE NORMAL, ESGOTO PREDIAL, DN 100 X 100 MM, JUNTA ELÁSTICA, FORNECIDO E INSTALADO </t>
  </si>
  <si>
    <t>12.16</t>
  </si>
  <si>
    <t>LUVA DE CORRER, PVC, SERIE NORMAL, ESGOTO PREDIAL, DN 150 MM, JUNTA ELÁSTICA, FORNECIDO E INSTALADO EM SUBCOLETOR AÉREO DE ESGOTO SANITÁRIO. AF_12/2014</t>
  </si>
  <si>
    <t>12.17</t>
  </si>
  <si>
    <t>S06387</t>
  </si>
  <si>
    <t>12.18</t>
  </si>
  <si>
    <t>CAIXA SIFONADA, PVC, DN 150 X 150 X 50 MM, JUNTA ELÁSTICA, FORNECIDA E INSTALADA EM RAMAL DE DESCARGA OU EM RAMAL DE ESGOTO SANITÁRIO. AF_12/2014_P</t>
  </si>
  <si>
    <t>12.19</t>
  </si>
  <si>
    <t>S11534</t>
  </si>
  <si>
    <t>12.20</t>
  </si>
  <si>
    <t>S01716</t>
  </si>
  <si>
    <t>LIMPEZA DE FOSSA</t>
  </si>
  <si>
    <t>12.21</t>
  </si>
  <si>
    <t>S01702</t>
  </si>
  <si>
    <t>INSTALAÇÕES ELÉTRICAS</t>
  </si>
  <si>
    <t>13.1</t>
  </si>
  <si>
    <t>S07328</t>
  </si>
  <si>
    <t>13.2</t>
  </si>
  <si>
    <t>S07329</t>
  </si>
  <si>
    <t>13.3</t>
  </si>
  <si>
    <t>LAMPADA LED TUBULAR BIVOLT 18/20 W</t>
  </si>
  <si>
    <t>13.4</t>
  </si>
  <si>
    <t>S08684</t>
  </si>
  <si>
    <t>DUTO PERFURADO - ELETROCALHA CHAPA DE AÇO (100X100)MM 3M</t>
  </si>
  <si>
    <t>13.5</t>
  </si>
  <si>
    <t>S08359</t>
  </si>
  <si>
    <t>DUTO PERFURADO - ELETROCALHA CHAPA DE AÇO (100X50)MM</t>
  </si>
  <si>
    <t>13.6</t>
  </si>
  <si>
    <t>S07384</t>
  </si>
  <si>
    <t>13.7</t>
  </si>
  <si>
    <t>ELETRODUTO RÍGIDO ROSCÁVEL, PVC, DN 25 MM (3/4")</t>
  </si>
  <si>
    <t>13.8</t>
  </si>
  <si>
    <t>ELETRODUTO DE PVC RIGIDO SOLDÁVEL DN 32MM (1")</t>
  </si>
  <si>
    <t>13.9</t>
  </si>
  <si>
    <t>LUVA DE PVC RIGIDO SOLDÁVEL DN 25MM (3/4")</t>
  </si>
  <si>
    <t>13.10</t>
  </si>
  <si>
    <t>LUVA DE PVC RIGIDO SOLDÁVEL DN 32MM (1")</t>
  </si>
  <si>
    <t>13.11</t>
  </si>
  <si>
    <t>CURVA DE PVC RIGIDO SOLDÁVEL DN 25MM (3/4")FORNECIMENTO E INSTALAÇÃO.</t>
  </si>
  <si>
    <t>13.12</t>
  </si>
  <si>
    <t>CURVA DE PVC RIGIDO SOLDÁVEL DN 32MM (1")FORNECIMENTO E INSTALAÇÃO.</t>
  </si>
  <si>
    <t>13.13</t>
  </si>
  <si>
    <t>FIXAÇÃO DE ELETRODUTO</t>
  </si>
  <si>
    <t>13.14</t>
  </si>
  <si>
    <t>ELETRODUTO LINHA CONDULETE TIGRE OU SIMILAR 3/4" - FORNECIMENTO E INSTALAÇÃO</t>
  </si>
  <si>
    <t>13.15</t>
  </si>
  <si>
    <t>ELETRODUTO LINHA CONDULETE TIGRE OU SIMILAR 1" - FORNECIMENTO E INSTALAÇÃO</t>
  </si>
  <si>
    <t>13.16</t>
  </si>
  <si>
    <t>13.17</t>
  </si>
  <si>
    <t>13.18</t>
  </si>
  <si>
    <t>ELETRODUTO RÍGIDO ROSCÁVEL, PVC, DN 60 MM (2") - FORNECIMENTO E INSTALAÇÃO. AF_12/2015</t>
  </si>
  <si>
    <t>13.19</t>
  </si>
  <si>
    <t>ELETRODUTO RÍGIDO ROSCÁVEL, PVC, DN 75 MM (2 1/2") - FORNECIMENTO E INSTALAÇÃO. AF_12/2015</t>
  </si>
  <si>
    <t>13.20</t>
  </si>
  <si>
    <t>ELETRODUTO RÍGIDO ROSCÁVEL, PVC, DN 85 MM (3") - FORNECIMENTO E INSTALAÇÃO. AF_12/2015</t>
  </si>
  <si>
    <t>13.21</t>
  </si>
  <si>
    <t>13.22</t>
  </si>
  <si>
    <t>LUVA PARA ELETRODUTO, PVC, ROSCÁVEL, DN 60 MM (2") - FORNECIMENTO E INSTALAÇÃO. AF_12/2015</t>
  </si>
  <si>
    <t>13.23</t>
  </si>
  <si>
    <t>LUVA PARA ELETRODUTO, PVC, ROSCÁVEL, DN 75 MM (2 1/2") - FORNECIMENTO E INSTALAÇÃO. AF_12/2015</t>
  </si>
  <si>
    <t>13.24</t>
  </si>
  <si>
    <t>LUVA PARA ELETRODUTO, PVC, ROSCÁVEL, DN 85 MM (3") - FORNECIMENTO E INSTALAÇÃO. AF_12/2015</t>
  </si>
  <si>
    <t>13.25</t>
  </si>
  <si>
    <t>CURVA 90 GRAUS PARA ELETRODUTO, PVC, ROSCÁVEL, DN 60 MM (2") - FORNECIMENTO E INSTALAÇÃO. AF_12/2015</t>
  </si>
  <si>
    <t>13.26</t>
  </si>
  <si>
    <t>CABO DE COBRE FLEXÍVEL ISOLADO, 2,5 MM², ANTI-CHAMA 450/750 V, PARA CIRCUITOS TERMINAIS - FORNECIMENTO E INSTALAÇÃO. AF_12/2015</t>
  </si>
  <si>
    <t>13.27</t>
  </si>
  <si>
    <t>CABO DE COBRE FLEXÍVEL ISOLADO, 4 MM², ANTI-CHAMA 450/750 V, PARA CIRCUITOS TERMINAIS - FORNECIMENTO E INSTALAÇÃO. AF_12/2015</t>
  </si>
  <si>
    <t>13.28</t>
  </si>
  <si>
    <t>CABO DE COBRE FLEXÍVEL ISOLADO, 6 MM², ANTI-CHAMA 450/750 V, PARA CIRCUITOS TERMINAIS - FORNECIMENTO E INSTALAÇÃO. AF_12/2015</t>
  </si>
  <si>
    <t>13.29</t>
  </si>
  <si>
    <t>CABO DE COBRE FLEXÍVEL ISOLADO, 16 MM², ANTI-CHAMA 0,6/1,0 KV, PARA CIRCUITOS TERMINAIS - FORNECIMENTO E INSTALAÇÃO. AF_12/2015</t>
  </si>
  <si>
    <t>13.30</t>
  </si>
  <si>
    <t>CABO DE COBRE FLEXÍVEL ISOLADO, 10 MM², ANTI-CHAMA 0,6/1,0 KV, PARA DISTRIBUIÇÃO - FORNECIMENTO E INSTALAÇÃO. AF_12/2015</t>
  </si>
  <si>
    <t>13.31</t>
  </si>
  <si>
    <t>CABO DE COBRE FLEXÍVEL ISOLADO, 25 MM², ANTI-CHAMA 0,6/1,0 KV</t>
  </si>
  <si>
    <t>13.32</t>
  </si>
  <si>
    <t>CABO DE COBRE FLEXÍVEL ISOLADO, 35 MM², ANTI-CHAMA 0,6/1,0 KV, PARA DISTRIBUIÇÃO - FORNECIMENTO E INSTALAÇÃO. AF_12/2015</t>
  </si>
  <si>
    <t>13.33</t>
  </si>
  <si>
    <t>CABO DE COBRE FLEXÍVEL ISOLADO, 50 MM², ANTI-CHAMA 0,6/1,0 KV, PARA DISTRIBUIÇÃO - FORNECIMENTO E INSTALAÇÃO. AF_12/2015</t>
  </si>
  <si>
    <t>13.34</t>
  </si>
  <si>
    <t>CABO DE COBRE FLEXÍVEL ISOLADO, 95 MM², ANTI-CHAMA 0,6/1,0 KV, PARA DISTRIBUIÇÃO - FORNECIMENTO E INSTALAÇÃO. AF_12/2015</t>
  </si>
  <si>
    <t>13.35</t>
  </si>
  <si>
    <t>CABO DE COBRE FLEXÍVEL ISOLADO, 150 MM², ANTI-CHAMA 0,6/1,0 KV</t>
  </si>
  <si>
    <t>13.36</t>
  </si>
  <si>
    <t>CABO DE COBRE FLEXÍVEL ISOLADO, 240 MM², ANTI-CHAMA 0,6/1,0 KV, PARA DISTRIBUIÇÃO - FORNECIMENTO E INSTALAÇÃO.</t>
  </si>
  <si>
    <t>13.37</t>
  </si>
  <si>
    <t>CONDULETE 3/4" EM LIGA DE ALUMÍNIO FUNDIDO TIPO "E" - FORNECIMENTO E INSTALACAO</t>
  </si>
  <si>
    <t>13.38</t>
  </si>
  <si>
    <t>CAIXA RETANGULAR 4" X 2" MÉDIA (1,30 M DO PISO), PVC, INSTALADA EM PAREDE - FORNECIMENTO E INSTALAÇÃO. AF_12/2015</t>
  </si>
  <si>
    <t>13.39</t>
  </si>
  <si>
    <t>CAIXA RETANGULAR 4" X 2" BAIXA (0,30 M DO PISO), PVC, INSTALADA EM PAREDE - FORNECIMENTO E INSTALAÇÃO. AF_12/2015</t>
  </si>
  <si>
    <t>13.40</t>
  </si>
  <si>
    <t>INTERRUPTOR SIMPLES (3 MÓDULOS), 10A/250V, INCLUINDO SUPORTE E PLACA</t>
  </si>
  <si>
    <t>13.41</t>
  </si>
  <si>
    <t>INTERRUPTOR PARALELO (1 MÓDULO), 10A/250V, INCLUINDO SUPORTE E PLACA - FORNECIMENTO E INSTALAÇÃO. AF_12/2015</t>
  </si>
  <si>
    <t>13.42</t>
  </si>
  <si>
    <t>INTERRUPTOR SIMPLES (2 MÓDULOS), 10A/250V, INCLUINDO SUPORTE E PLACA - FORNECIMENTO E INSTALAÇÃO. AF_12/2015</t>
  </si>
  <si>
    <t>13.43</t>
  </si>
  <si>
    <t>TOMADA MÉDIA DE EMBUTIR (1 MÓDULO), 2P+T 10 A, INCLUINDO SUPORTE E PLACA - FORNECIMENTO E INSTALAÇÃO. AF_12/2015</t>
  </si>
  <si>
    <t>13.44</t>
  </si>
  <si>
    <t>TOMADA MÉDIA DE EMBUTIR (2 MÓDULOS), 2P+T 10 A, INCLUINDO SUPORTE E PLACA - FORNECIMENTO E INSTALAÇÃO. AF_12/2015</t>
  </si>
  <si>
    <t>13.45</t>
  </si>
  <si>
    <t>CONDULETE 3/4" EM LIGA DE ALUMÍNIO FUNDIDO TIPOS "E,C,T,X,LL,LR,LB,TB" - FORNECIMENTO E INSTALACAO</t>
  </si>
  <si>
    <t>13.46</t>
  </si>
  <si>
    <t>CONDULETE 1" EM LIGA DE ALUMÍNIO FUNDIDO TIPOS "E,C,T,X,LL,LR,LB,TB" - FORNECIMENTO E INSTALACAO</t>
  </si>
  <si>
    <t>13.47</t>
  </si>
  <si>
    <t>CABO DE COBRE FLEXÍVEL ISOLADO, 35 MM², ANTI-CHAMA 450/750 V</t>
  </si>
  <si>
    <t>13.48</t>
  </si>
  <si>
    <t>CABO DE COBRE FLEXÍVEL ISOLADO, 16 MM², ANTI-CHAMA 450/750 V</t>
  </si>
  <si>
    <t>13.49</t>
  </si>
  <si>
    <t>TERMINAL OU CONECTOR DE PRESSAO - PARA CABO 10MM2</t>
  </si>
  <si>
    <t>13.50</t>
  </si>
  <si>
    <t>TERMINAL OU CONECTOR DE PRESSAO - PARA CABO 16MM2</t>
  </si>
  <si>
    <t>13.51</t>
  </si>
  <si>
    <t>TERMINAL OU CONECTOR DE PRESSAO - PARA CABO 35MM2</t>
  </si>
  <si>
    <t>13.52</t>
  </si>
  <si>
    <t>TERMINAL A COMPRESSAO EM COBRE ESTANHADO PARA CABO 4 MM2</t>
  </si>
  <si>
    <t>13.53</t>
  </si>
  <si>
    <t>CAIXA OCTOGONAL 4" X 4", PVC</t>
  </si>
  <si>
    <t>13.54</t>
  </si>
  <si>
    <t>CONDULETE DE PVC, TIPO B, PARA ELETRODUTO DE PVC SOLDÁVEL DN 25 MM (3/4''), APARENTE - FORNECIMENTO E INSTALAÇÃO. AF_11/2016</t>
  </si>
  <si>
    <t>13.55</t>
  </si>
  <si>
    <t>CONDULETE DE PVC, TIPO B, PARA ELETRODUTO DE PVC SOLDÁVEL DN 32 MM (1''), APARENTE - FORNECIMENTO E INSTALAÇÃO. AF_11/2016</t>
  </si>
  <si>
    <t>13.56</t>
  </si>
  <si>
    <t>CONDULETE DE PVC, TIPO LL, PARA ELETRODUTO DE PVC SOLDÁVEL DN 25 MM (3/4''), APARENTE - FORNECIMENTO E INSTALAÇÃO. AF_11/2016</t>
  </si>
  <si>
    <t>13.57</t>
  </si>
  <si>
    <t>CONDULETE DE PVC, TIPO LL, PARA ELETRODUTO DE PVC SOLDÁVEL DN 32 MM (1''), APARENTE - FORNECIMENTO E INSTALAÇÃO. AF_11/2016</t>
  </si>
  <si>
    <t>13.58</t>
  </si>
  <si>
    <t>CONDULETE DE PVC, TIPO LB, PARA ELETRODUTO DE PVC SOLDÁVEL DN 25 MM (3/4''), APARENTE - FORNECIMENTO E INSTALAÇÃO. AF_11/2016</t>
  </si>
  <si>
    <t>13.59</t>
  </si>
  <si>
    <t>CONDULETE DE PVC, TIPO LB, PARA ELETRODUTO DE PVC SOLDÁVEL DN 32 MM (1''), APARENTE - FORNECIMENTO E INSTALAÇÃO. AF_11/2016</t>
  </si>
  <si>
    <t>13.60</t>
  </si>
  <si>
    <t>CONDULETE DE PVC, TIPO TB, PARA ELETRODUTO DE PVC SOLDÁVEL DN 25 MM (3/4''), APARENTE - FORNECIMENTO E INSTALAÇÃO. AF_11/2016</t>
  </si>
  <si>
    <t>13.61</t>
  </si>
  <si>
    <t>CONDULETE DE PVC, TIPO TB, PARA ELETRODUTO DE PVC SOLDÁVEL DN 32 MM (1''), APARENTE - FORNECIMENTO E INSTALAÇÃO. AF_11/2016</t>
  </si>
  <si>
    <t>13.62</t>
  </si>
  <si>
    <t>CONDULETE DE PVC, TIPO X, PARA ELETRODUTO DE PVC SOLDÁVEL DN 25 MM (3/4''), APARENTE - FORNECIMENTO E INSTALAÇÃO. AF_11/2016</t>
  </si>
  <si>
    <t>13.63</t>
  </si>
  <si>
    <t>CONDULETE DE PVC, TIPO X, PARA ELETRODUTO DE PVC SOLDÁVEL DN 32 MM (1''), APARENTE - FORNECIMENTO E INSTALAÇÃO. AF_11/2016</t>
  </si>
  <si>
    <t>13.64</t>
  </si>
  <si>
    <t>S12500</t>
  </si>
  <si>
    <t>CANTONEIRA ZZ PARA FIXAÇÃO DE PERFILADO</t>
  </si>
  <si>
    <t>13.65</t>
  </si>
  <si>
    <t>PERFILADO DE SEÇÃO 38X38 MM PARA SUPORTE DE ATÉ 3 TUBOS VERTICAIS</t>
  </si>
  <si>
    <t>13.66</t>
  </si>
  <si>
    <t>S00723</t>
  </si>
  <si>
    <t>SAIDA HORIZONTAL PARA ELETRODUTO 3/4"</t>
  </si>
  <si>
    <t>13.67</t>
  </si>
  <si>
    <t>S00724</t>
  </si>
  <si>
    <t>SAIDA HORIZONTAL PARA ELETRODUTO 1"</t>
  </si>
  <si>
    <t>13.68</t>
  </si>
  <si>
    <t>S00725</t>
  </si>
  <si>
    <t>SAIDA HORIZONTAL PARA ELETRODUTO 1.1/2</t>
  </si>
  <si>
    <t>13.69</t>
  </si>
  <si>
    <t>S011816</t>
  </si>
  <si>
    <t>BOX RETO EM ALUMÍNIO DE 3/4"</t>
  </si>
  <si>
    <t>13.70</t>
  </si>
  <si>
    <t>S011817</t>
  </si>
  <si>
    <t>BOX RETO EM ALUMÍNIO DE 1"</t>
  </si>
  <si>
    <t>13.71</t>
  </si>
  <si>
    <t>INTERRUPTOR SIMPLES (1 MÓDULO), 10A/250V, INCLUINDO SUPORTE E PLACA - FORNECIMENTO E INSTALAÇÃO. AF_12/2015</t>
  </si>
  <si>
    <t>13.72</t>
  </si>
  <si>
    <t>13.73</t>
  </si>
  <si>
    <t>INTERRUPTOR SIMPLES (1 MÓDULO) COM INTERRUPTOR PARALELO (1 MÓDULO), 10A/250V, INCLUINDO SUPORTE E PLACA - FORNECIMENTO E INSTALAÇÃO. AF_12/2015</t>
  </si>
  <si>
    <t>13.74</t>
  </si>
  <si>
    <t>13.75</t>
  </si>
  <si>
    <t>INTERRUPTOR SIMPLES (3 MÓDULOS), 10A/250V, INCLUINDO SUPORTE E PLACA - FORNECIMENTO E INSTALAÇÃO. AF_12/2015</t>
  </si>
  <si>
    <t>13.76</t>
  </si>
  <si>
    <t>TOMADA ALTA DE EMBUTIR (1 MÓDULO), 2P+T 10 A, INCLUINDO SUPORTE E PLACA - FORNECIMENTO E INSTALAÇÃO. AF_12/2015</t>
  </si>
  <si>
    <t>13.77</t>
  </si>
  <si>
    <t>TOMADA ALTA DE EMBUTIR (1 MÓDULO), 2P+T 20 A, INCLUINDO SUPORTE E PLACA - FORNECIMENTO E INSTALAÇÃO. AF_12/2015</t>
  </si>
  <si>
    <t>13.78</t>
  </si>
  <si>
    <t>13.79</t>
  </si>
  <si>
    <t>TOMADA MÉDIA DE EMBUTIR (1 MÓDULO), 2P+T 20 A, INCLUINDO SUPORTE E PLACA - FORNECIMENTO E INSTALAÇÃO. AF_12/2015</t>
  </si>
  <si>
    <t>13.80</t>
  </si>
  <si>
    <t>13.81</t>
  </si>
  <si>
    <t>TOMADA BAIXA DE EMBUTIR (1 MÓDULO), 2P+T 10 A, INCLUINDO SUPORTE E PLACA - FORNECIMENTO E INSTALAÇÃO. AF_12/2015</t>
  </si>
  <si>
    <t>13.82</t>
  </si>
  <si>
    <t>TOMADA BAIXA DE EMBUTIR (2 MÓDULOS), 2P+T 10 A, SEM SUPORTE E SEM PLACA - FORNECIMENTO E INSTALAÇÃO. AF_12/2015</t>
  </si>
  <si>
    <t>13.83</t>
  </si>
  <si>
    <t>SUPORTE PARAFUSADO COM PLACA DE ENCAIXE 4" X 2" ALTO (2,00 M DO PISO) PARA PONTO ELÉTRICO - FORNECIMENTO E INSTALAÇÃO. AF_12/2015</t>
  </si>
  <si>
    <t>13.84</t>
  </si>
  <si>
    <t>SUPORTE PARAFUSADO COM PLACA DE ENCAIXE 4" X 2" MÉDIO (1,30 M DO PISO) PARA PONTO ELÉTRICO - FORNECIMENTO E INSTALAÇÃO. AF_12/2015</t>
  </si>
  <si>
    <t>13.85</t>
  </si>
  <si>
    <t>SUPORTE PARAFUSADO COM PLACA DE ENCAIXE 4" X 2" BAIXO (0,30 M DO PISO) PARA PONTO ELÉTRICO - FORNECIMENTO E INSTALAÇÃO. AF_12/2015</t>
  </si>
  <si>
    <t>13.86</t>
  </si>
  <si>
    <t>INTERRUPTOR SIMPLES (1 MÓDULO) COM 1 TOMADA DE EMBUTIR 2P+T 10 A,  INCLUINDO SUPORTE E PLACA - FORNECIMENTO E INSTALAÇÃO. AF_12/2015</t>
  </si>
  <si>
    <t>13.87</t>
  </si>
  <si>
    <t>LUVA PARA ELETRODUTO, PVC, SOLDÁVEL, DN 25 MM (3/4’’), APARENTE, INSTALADA EM TETO - FORNECIMENTO E INSTALAÇÃO. AF_11/2016_P</t>
  </si>
  <si>
    <t>13.88</t>
  </si>
  <si>
    <t>LUVA PARA ELETRODUTO, PVC, SOLDÁVEL, DN 32 MM (1’’), APARENTE, INSTALADA EM TETO - FORNECIMENTO E INSTALAÇÃO. AF_11/2016_P</t>
  </si>
  <si>
    <t>13.89</t>
  </si>
  <si>
    <t>LUVA PARA ELETRODUTO, PVC, SOLDÁVEL, DN 25 MM (3/4’’), APARENTE, INSTALADA EM PAREDE - FORNECIMENTO E INSTALAÇÃO. AF_11/2016_P</t>
  </si>
  <si>
    <t>13.90</t>
  </si>
  <si>
    <t>LUVA PARA ELETRODUTO, PVC, SOLDÁVEL, DN 32 MM (1’’), APARENTE, INSTALADA EM PAREDE - FORNECIMENTO E INSTALAÇÃO. AF_11/2016_P</t>
  </si>
  <si>
    <t>13.91</t>
  </si>
  <si>
    <t>CURVA 90 GRAUS PARA ELETRODUTO, PVC, ROSCÁVEL, DN 50 MM (1 1/2") - FORNECIMENTO E INSTALAÇÃO. AF_12/2015</t>
  </si>
  <si>
    <t>13.92</t>
  </si>
  <si>
    <t>CURVA 90 GRAUS PARA ELETRODUTO, PVC, ROSCÁVEL, DN 32 MM (1"), PARA CIRCUITOS TERMINAIS, INSTALADA EM PAREDE - FORNECIMENTO E INSTALAÇÃO. AF_12/2015</t>
  </si>
  <si>
    <t>13.93</t>
  </si>
  <si>
    <t>CURVA 90 GRAUS PARA ELETRODUTO, PVC, ROSCÁVEL, DN 25 MM (3/4"), PARA CIRCUITOS TERMINAIS, INSTALADA EM PAREDE - FORNECIMENTO E INSTALAÇÃO. AF_12/2015</t>
  </si>
  <si>
    <t>13.94</t>
  </si>
  <si>
    <t>S08688</t>
  </si>
  <si>
    <t>CURVA HORIZONTAL 100 X 50 MM PARA ELETROCALHA METÁLICA, COM ÂNGULO 90°</t>
  </si>
  <si>
    <t>13.95</t>
  </si>
  <si>
    <t>S08113</t>
  </si>
  <si>
    <t>TE HORIZONTAL PARA ELETROCALHA PERFURADA 100x50cm</t>
  </si>
  <si>
    <t>13.96</t>
  </si>
  <si>
    <t>S04532</t>
  </si>
  <si>
    <t>CURVA DE INVERSÃO 100X50 MM</t>
  </si>
  <si>
    <t>13.97</t>
  </si>
  <si>
    <t>S09526</t>
  </si>
  <si>
    <t>GANCHO CURTO PARA PERFILADO</t>
  </si>
  <si>
    <t>13.98</t>
  </si>
  <si>
    <t>S11405</t>
  </si>
  <si>
    <t>JUNÇÃO INTERNA TIPO "I" PARA PERFILADO</t>
  </si>
  <si>
    <t>13.99</t>
  </si>
  <si>
    <t>S07878</t>
  </si>
  <si>
    <t>EMENDA INTERNA 100 X 50 MM COM BASE LISA PERFURADA PARA ELETROCALHA METÁLICA</t>
  </si>
  <si>
    <t>13.100</t>
  </si>
  <si>
    <t>LUMINÁRIA TIPO PLAFON, DE SOBREPOR, COM 1 LÂMPADA LED DE 12/13 W, SEM REATOR</t>
  </si>
  <si>
    <t>13.101</t>
  </si>
  <si>
    <t>S11441</t>
  </si>
  <si>
    <t>LUMINÁRIA HERMÉTICA DE SOBREPOR PARA FLUORESCENTE TUBULAR T5, 2X28W, IP65, MODELO: OUROFORT, REF.: 1527, DA OUROLUX OU SIMILAR</t>
  </si>
  <si>
    <t>13.102</t>
  </si>
  <si>
    <t>DISJUNTOR MONOPOLAR TIPO DIN, CORRENTE NOMINAL DE 10A - FORNECIMENTO E INSTALAÇÃO. AF_04/2016</t>
  </si>
  <si>
    <t>13.103</t>
  </si>
  <si>
    <t>DISJUNTOR MONOPOLAR TIPO DIN, CORRENTE NOMINAL DE 16A - FORNECIMENTO E INSTALAÇÃO. AF_04/2016</t>
  </si>
  <si>
    <t>13.104</t>
  </si>
  <si>
    <t>DISJUNTOR MONOPOLAR TIPO DIN, CORRENTE NOMINAL DE 20A - FORNECIMENTO E INSTALAÇÃO. AF_04/2016</t>
  </si>
  <si>
    <t>13.105</t>
  </si>
  <si>
    <t>DISJUNTOR MONOPOLAR TIPO DIN, CORRENTE NOMINAL DE 25A - FORNECIMENTO E INSTALAÇÃO. AF_04/2016</t>
  </si>
  <si>
    <t>13.106</t>
  </si>
  <si>
    <t>DISJUNTOR MONOPOLAR TIPO DIN, CORRENTE NOMINAL DE 32A - FORNECIMENTO E INSTALAÇÃO. AF_04/2016</t>
  </si>
  <si>
    <t>13.107</t>
  </si>
  <si>
    <t>DISJUNTOR MONOPOLAR TIPO DIN, CORRENTE NOMINAL DE 40A - FORNECIMENTO E INSTALAÇÃO. AF_04/2016</t>
  </si>
  <si>
    <t>13.108</t>
  </si>
  <si>
    <t>DISJUNTOR MONOPOLAR TIPO DIN, CORRENTE NOMINAL DE 50A - FORNECIMENTO E INSTALAÇÃO. AF_04/2016</t>
  </si>
  <si>
    <t>13.109</t>
  </si>
  <si>
    <t>DISJUNTOR BIPOLAR TIPO DIN, CORRENTE NOMINAL DE 10A - FORNECIMENTO E INSTALAÇÃO. AF_04/2016</t>
  </si>
  <si>
    <t>13.110</t>
  </si>
  <si>
    <t>DISJUNTOR BIPOLAR TIPO DIN, CORRENTE NOMINAL DE 20A - FORNECIMENTO E INSTALAÇÃO. AF_04/2016</t>
  </si>
  <si>
    <t>13.111</t>
  </si>
  <si>
    <t>DISJUNTOR BIPOLAR TIPO DIN, CORRENTE NOMINAL DE 25A - FORNECIMENTO E INSTALAÇÃO. AF_04/2016</t>
  </si>
  <si>
    <t>13.112</t>
  </si>
  <si>
    <t>DISJUNTOR BIPOLAR TIPO DIN, CORRENTE NOMINAL DE 32A - FORNECIMENTO E INSTALAÇÃO. AF_04/2016</t>
  </si>
  <si>
    <t>13.113</t>
  </si>
  <si>
    <t>DISJUNTOR BIPOLAR TIPO DIN, CORRENTE NOMINAL DE 40A - FORNECIMENTO E INSTALAÇÃO. AF_04/2016</t>
  </si>
  <si>
    <t>13.114</t>
  </si>
  <si>
    <t>DISJUNTOR BIPOLAR TIPO DIN, CORRENTE NOMINAL DE 50A - FORNECIMENTO E INSTALAÇÃO. AF_04/2016</t>
  </si>
  <si>
    <t>13.115</t>
  </si>
  <si>
    <t>DISJUNTOR TRIPOLAR TIPO DIN, CORRENTE NOMINAL DE 10A - FORNECIMENTO E INSTALAÇÃO. AF_04/2016</t>
  </si>
  <si>
    <t>13.116</t>
  </si>
  <si>
    <t>DISJUNTOR TRIPOLAR TIPO DIN, CORRENTE NOMINAL DE 16A - FORNECIMENTO E INSTALAÇÃO. AF_04/2016</t>
  </si>
  <si>
    <t>13.117</t>
  </si>
  <si>
    <t>DISJUNTOR TRIPOLAR TIPO DIN, CORRENTE NOMINAL DE 20A - FORNECIMENTO E INSTALAÇÃO. AF_04/2016</t>
  </si>
  <si>
    <t>13.118</t>
  </si>
  <si>
    <t>DISJUNTOR TRIPOLAR TIPO DIN, CORRENTE NOMINAL DE 25A - FORNECIMENTO E INSTALAÇÃO. AF_04/2016</t>
  </si>
  <si>
    <t>13.119</t>
  </si>
  <si>
    <t>DISJUNTOR TRIPOLAR TIPO DIN, CORRENTE NOMINAL DE 32A - FORNECIMENTO E INSTALAÇÃO. AF_04/2016</t>
  </si>
  <si>
    <t>13.120</t>
  </si>
  <si>
    <t>DISJUNTOR TRIPOLAR TIPO DIN, CORRENTE NOMINAL DE 40A - FORNECIMENTO E INSTALAÇÃO. AF_04/2016</t>
  </si>
  <si>
    <t>13.121</t>
  </si>
  <si>
    <t>DISJUNTOR TRIPOLAR TIPO DIN, CORRENTE NOMINAL DE 50A - FORNECIMENTO E INSTALAÇÃO. AF_04/2016</t>
  </si>
  <si>
    <t>13.122</t>
  </si>
  <si>
    <t>S08067</t>
  </si>
  <si>
    <t>QUADRO DE DISTRIBUIÇÃO DE SOBREPOR C/ PORTA C/ BARRAMENTO CHAPA METÁLICA 150A - 34 DISJUNTORES</t>
  </si>
  <si>
    <t>13.123</t>
  </si>
  <si>
    <t>S08068</t>
  </si>
  <si>
    <t>QUADRO DE DISTRIBUIÇÃO DE SOBREPOR C/ PORTA C/ BARRAMENTO CHAPA METÁLICA 150A - 44 DISJUNTORES</t>
  </si>
  <si>
    <t>13.124</t>
  </si>
  <si>
    <t>S08075</t>
  </si>
  <si>
    <t>QUADRO DE DISTRIBUIÇÃO DE SOBREPOR C/ PORTA C/ BARRAMENTO CHAPA METÁLICA 225A - 70 DISJUNTORES</t>
  </si>
  <si>
    <t>13.125</t>
  </si>
  <si>
    <t>S08894</t>
  </si>
  <si>
    <t>DISPOSITIVO DE PROTEÇÃO CONTRA SURTO DE TENSÃO DPS 40KA - 175V</t>
  </si>
  <si>
    <t>13.126</t>
  </si>
  <si>
    <t>S07996</t>
  </si>
  <si>
    <t>DISJUNTOR BIPOLAR DR 25 A - DISPOSITIVO RESIDUAL DIFERENCIAL, TIPO AC, 30MA, REF.5SM1 312-OMB, SIEMENS OU SIMILAR</t>
  </si>
  <si>
    <t>13.127</t>
  </si>
  <si>
    <t>S08077</t>
  </si>
  <si>
    <t>DISJUNTOR BIPOLAR DR 40 A - DISPOSITIVO RESIDUAL DIFERENCIAL, TIPO AC, 30MA, REF.5SM1 314-OMB, SIEMENS OU SIMILAR</t>
  </si>
  <si>
    <t>13.128</t>
  </si>
  <si>
    <t>S08882</t>
  </si>
  <si>
    <t>DISJUNTOR TRIPOLAR DR 25 A, DISPOSITIVO RESIDUAL DIFERENCIAL</t>
  </si>
  <si>
    <t>13.129</t>
  </si>
  <si>
    <t>S09969</t>
  </si>
  <si>
    <t>DISJUNTOR TETRAPOLAR DR 125 A, TIPO AC, CORRENTE NOMINAL RESIDUAL 30MA, REF.: SIEMENS 5SM3-3450 OU SIMILAR</t>
  </si>
  <si>
    <t>13.130</t>
  </si>
  <si>
    <t>FORNECIMENTO E INSTALAÇÃO DE SAÍDA HORIZONTAL PARA ELETRODUTO 3/4" (REF. VL 33 VALEMAM OU SIMILAR)</t>
  </si>
  <si>
    <t>13.131</t>
  </si>
  <si>
    <t>FORNECIMENTO E INSTALAÇÃO DE SAÍDA HORIZONTAL PARA ELETRODUTO 1"(REF. VL 33 VALEMAM OU SIMILAR)</t>
  </si>
  <si>
    <t>13.132</t>
  </si>
  <si>
    <t>S03276MOD</t>
  </si>
  <si>
    <t>PONTO DE INTERRUPTOR APARENTE</t>
  </si>
  <si>
    <t xml:space="preserve"> PT </t>
  </si>
  <si>
    <t>13.133</t>
  </si>
  <si>
    <t>S00642</t>
  </si>
  <si>
    <t>PONTO DE LUZ EM TETO OU PAREDE APARENTE</t>
  </si>
  <si>
    <t>13.134</t>
  </si>
  <si>
    <t>S03297MOD</t>
  </si>
  <si>
    <t>PONTO DE TOMADA 2P+T APARENTE</t>
  </si>
  <si>
    <t>13.135</t>
  </si>
  <si>
    <t>S03297</t>
  </si>
  <si>
    <t>PONTO ELÉTRICO - REMANEJAMENTO</t>
  </si>
  <si>
    <t>13.136</t>
  </si>
  <si>
    <t xml:space="preserve">PONTO DE ILUMINAÇÃO </t>
  </si>
  <si>
    <t>13.137</t>
  </si>
  <si>
    <t>PONTO DE TOMADA EMBUTIDO</t>
  </si>
  <si>
    <t>13.138</t>
  </si>
  <si>
    <t>S04988</t>
  </si>
  <si>
    <t>REMOÇÃO E REINSTALAÇÃO DE LUMINÁRIAS</t>
  </si>
  <si>
    <t>13.139</t>
  </si>
  <si>
    <t>LUMINÁRIA DE EMERGÊNCIA, COM 30 LÂMPADAS LED DE 2 W, SEM REATOR</t>
  </si>
  <si>
    <t>13.140</t>
  </si>
  <si>
    <t>S07162</t>
  </si>
  <si>
    <t>SENSOR DE PRESENÇA - FORNECIMENTO E INSTALAÇÃO</t>
  </si>
  <si>
    <t>QUADROS ELÉTRICOS</t>
  </si>
  <si>
    <t>14.1</t>
  </si>
  <si>
    <t>S07224</t>
  </si>
  <si>
    <t>REMOÇÃO DE QUADRO ELÉTRICO DE EMBUTIR OU SOBREPOR</t>
  </si>
  <si>
    <t>14.2</t>
  </si>
  <si>
    <t>S08064</t>
  </si>
  <si>
    <t>14.3</t>
  </si>
  <si>
    <t>S08036</t>
  </si>
  <si>
    <t>14.4</t>
  </si>
  <si>
    <t>S08080</t>
  </si>
  <si>
    <t>14.5</t>
  </si>
  <si>
    <t>S08058</t>
  </si>
  <si>
    <t>COBERTURA</t>
  </si>
  <si>
    <t>15.1</t>
  </si>
  <si>
    <t>TRAMA DE MADEIRA COMPOSTA POR TERÇAS PARA TELHADOS DE ATÉ 2 ÁGUAS PARA TELHA ONDULADA DE FIBROCIMENTO, METÁLICA, PLÁSTICA OU TERMOACÚSTICA</t>
  </si>
  <si>
    <t>15.2</t>
  </si>
  <si>
    <t>TRAMA DE MADEIRA COMPOSTA POR TERÇAS PARA TELHADOS DE ATÉ 2 ÁGUAS PARA TELHA ESTRUTURAL DE FIBROCIMENTO</t>
  </si>
  <si>
    <t>15.3</t>
  </si>
  <si>
    <t>TRAMA DE MADEIRA COMPOSTA POR RIPAS, CAIBROS E TERÇAS PARA TELHADOS DE MAIS QUE 2 ÁGUAS PARA TELHA DE ENCAIXE DE CERÂMICA OU DE CONCRETO</t>
  </si>
  <si>
    <t>15.4</t>
  </si>
  <si>
    <t>TELHAMENTO COM TELHA CERÂMICA CAPA-CANAL, TIPO PLAN, COM MAIS DE 2 ÁGUAS</t>
  </si>
  <si>
    <t>15.5</t>
  </si>
  <si>
    <t>S00251</t>
  </si>
  <si>
    <t>15.6</t>
  </si>
  <si>
    <t>S00236</t>
  </si>
  <si>
    <t>15.7</t>
  </si>
  <si>
    <t>S00237</t>
  </si>
  <si>
    <t>15.8</t>
  </si>
  <si>
    <t>S00238</t>
  </si>
  <si>
    <t>15.9</t>
  </si>
  <si>
    <t>TELHAMENTO COM TELHA CERÂMICA DE ENCAIXE, TIPO FRANCESA</t>
  </si>
  <si>
    <t>15.10</t>
  </si>
  <si>
    <t>EMBOÇAMENTO COM ARGAMASSA TRAÇO 1:2:9 (CIMENTO, CAL E AREIA) PARA TELHA CERÂMICA</t>
  </si>
  <si>
    <t>15.11</t>
  </si>
  <si>
    <t>AMARRAÇÃO DE TELHAS CERÂMICAS OU DE CONCRETO</t>
  </si>
  <si>
    <t>15.12</t>
  </si>
  <si>
    <t>CALHA DE BEIRAL, SEMICIRCULAR DE PVC, DIAMETRO 125 MM, INCLUINDO CABECEIRAS, EMENDAS, BOCAIS, SUPORTES E VEDAÇÕES</t>
  </si>
  <si>
    <t>15.13</t>
  </si>
  <si>
    <t>CUMEEIRA E ESPIGÃO PARA TELHA CERÂMICA EMBOÇADA COM ARGAMASSA TRAÇO 1:2:9 (CIMENTO, CAL E AREIA), PARA TELHADOS COM MAIS DE 2 ÁGUAS, INCLUSO TRANSPORTE VERTICAL. AF_06/2016</t>
  </si>
  <si>
    <t>15.14</t>
  </si>
  <si>
    <t>S10222</t>
  </si>
  <si>
    <t>FORNECIMENTO E ASSENTAMENTO DE RIPAS MASSARANDUBA 4 X1,5CM</t>
  </si>
  <si>
    <t>15.15</t>
  </si>
  <si>
    <t>SUBCOBERTURA COM MANTA PLÁSTICA REVESTIDA POR PELÍCULA DE ALUMÍNO, INCLUSO TRANSPORTE VERTICAL</t>
  </si>
  <si>
    <t>15.16</t>
  </si>
  <si>
    <t>CALHA EM CHAPA DE AÇO GALVANIZADO NÚMERO 24, DESENVOLVIMENTO DE 50 CM</t>
  </si>
  <si>
    <t>15.17</t>
  </si>
  <si>
    <t>RUFO EM CHAPA DE AÇO GALVANIZADO NÚMERO 24, CORTE DE 25 CM</t>
  </si>
  <si>
    <t>15.18</t>
  </si>
  <si>
    <t>S05083</t>
  </si>
  <si>
    <t>RUFO PARA TELHA DE FIBROCIMENTO ONDULADA</t>
  </si>
  <si>
    <t>15.19</t>
  </si>
  <si>
    <t>TELHAMENTO COM TELHA DE FIBROCIMENTO TIPO CANALETE 90 (ETERNIT OU SIMILAR)</t>
  </si>
  <si>
    <t>15.20</t>
  </si>
  <si>
    <t>S00253</t>
  </si>
  <si>
    <t>CUMEEIRA NORMAL EM FIBROCIMENTO PARA TELHA CANALETE 90 OU SIMILAR</t>
  </si>
  <si>
    <t>15.21</t>
  </si>
  <si>
    <t>S00256</t>
  </si>
  <si>
    <t>TAMPÃO PARA TELHA CANALETE 90</t>
  </si>
  <si>
    <t>15.22</t>
  </si>
  <si>
    <t>TELHAMENTO COM TELHA DE FIBROCIMENTO TIPO CANALETE 49 (ETERNIT OU SIMILAR)</t>
  </si>
  <si>
    <t>15.23</t>
  </si>
  <si>
    <t>S00252</t>
  </si>
  <si>
    <t>CUMEEIRA NORMAL EM FIBROCIMENTO PARA TELHA CANALETE 49</t>
  </si>
  <si>
    <t>15.24</t>
  </si>
  <si>
    <t>S00255</t>
  </si>
  <si>
    <t>TAMPÃO PARA TELHA CANALETE 49</t>
  </si>
  <si>
    <t>15.25</t>
  </si>
  <si>
    <t>S08242</t>
  </si>
  <si>
    <t>REVISÃO EM COBERTURAS COM TELHAS TIPO CANALETE 49, SEM REPOSIÇÃO DE MATERIAL</t>
  </si>
  <si>
    <t>15.26</t>
  </si>
  <si>
    <t>S00230</t>
  </si>
  <si>
    <t>15.27</t>
  </si>
  <si>
    <t>S04774</t>
  </si>
  <si>
    <t>15.28</t>
  </si>
  <si>
    <t>CALHA EM CHAPA DE AÇO GALVANIZADO NÚMERO 24, DESENVOLVIMENTO DE 100 CM</t>
  </si>
  <si>
    <t>15.29</t>
  </si>
  <si>
    <t>TELHAMENTO COM TELHA ONDULADA DE FIBROCIMENTO E = 6 MM, COM RECOBRIMENTO LATERAL DE 1 1/4 DE ONDA PARA TELHADO COM INCLINAÇÃO MÁXIMA DE 10°, COM ATÉ 2 ÁGUAS, INCLUSO IÇAMENTO. AF_06/2016</t>
  </si>
  <si>
    <t>15.30</t>
  </si>
  <si>
    <t>CUMEEIRA PARA TELHA DE FIBROCIMENTO ONDULADA E = 6 MM, INCLUSO ACESSÓRIOS DE FIXAÇÃO E IÇAMENTO. AF_06/2016</t>
  </si>
  <si>
    <t>15.31</t>
  </si>
  <si>
    <t>S00265</t>
  </si>
  <si>
    <t>REVISÃO EM COBERTURA COM TELHA DE FIBROCIMENTO ONDULADA 6MM</t>
  </si>
  <si>
    <t>15.32</t>
  </si>
  <si>
    <t>S00213</t>
  </si>
  <si>
    <t>15.33</t>
  </si>
  <si>
    <t>S09643</t>
  </si>
  <si>
    <t>15.35</t>
  </si>
  <si>
    <t>S10898</t>
  </si>
  <si>
    <t>CABEAMENTO ESTRUTURADO</t>
  </si>
  <si>
    <t>16.1</t>
  </si>
  <si>
    <t>16.2</t>
  </si>
  <si>
    <t>16.3</t>
  </si>
  <si>
    <t>16.4</t>
  </si>
  <si>
    <t>S07138</t>
  </si>
  <si>
    <t>FORNECIMENTO E LANÇAMENTO DE CABO UTP 4 PARES CAT 6</t>
  </si>
  <si>
    <t>16.5</t>
  </si>
  <si>
    <t>DUTO PERFURADO - ELETROCALHA CHAPA DE AÇO (100X100)MM</t>
  </si>
  <si>
    <t>16.6</t>
  </si>
  <si>
    <t>16.7</t>
  </si>
  <si>
    <t>CLIMATIZAÇÃO</t>
  </si>
  <si>
    <t>17.1</t>
  </si>
  <si>
    <t>S07289</t>
  </si>
  <si>
    <t>17.2</t>
  </si>
  <si>
    <t>S12375</t>
  </si>
  <si>
    <t>REMOÇÃO E REINSTALAÇÃO DE APARELHO DE AR-CONDICIONADO</t>
  </si>
  <si>
    <t>17.3</t>
  </si>
  <si>
    <t>S11501</t>
  </si>
  <si>
    <t>DUTO CHAPA GALVANIZADA NUM 24 P/ AR CONDICIONADO</t>
  </si>
  <si>
    <t>17.4</t>
  </si>
  <si>
    <t>S11148</t>
  </si>
  <si>
    <t>IMPERMEABILIZAÇÕES</t>
  </si>
  <si>
    <t>18.1</t>
  </si>
  <si>
    <t>S04849</t>
  </si>
  <si>
    <t>18.2</t>
  </si>
  <si>
    <t>S04850</t>
  </si>
  <si>
    <t>18.3</t>
  </si>
  <si>
    <t>S10020</t>
  </si>
  <si>
    <t>IMPERMEABILIZACAO DE SUPERFICIE COM MANTA ASFALTICA (COM POLIMEROS TIPO APP), E=4 MM</t>
  </si>
  <si>
    <t>18.4</t>
  </si>
  <si>
    <t>S05004</t>
  </si>
  <si>
    <t>18.5</t>
  </si>
  <si>
    <t>CONTRAPISO EM ARGAMASSA TRAÇO 1:4 (CIMENTO E AREIA), PREPARO MANUAL, APLICADO EM ÁREAS MOLHADAS SOBRE IMPERMEABILIZAÇÃO, ESPESSURA 3CM</t>
  </si>
  <si>
    <t>18.6</t>
  </si>
  <si>
    <t>S04266</t>
  </si>
  <si>
    <t>18.7</t>
  </si>
  <si>
    <t>IMUNIZACAO DE MADEIRAMENTO PARA COBERTURA UTILIZANDO CUPINICIDA INCOLOR</t>
  </si>
  <si>
    <t>18.8</t>
  </si>
  <si>
    <t>S02339</t>
  </si>
  <si>
    <t>18.9</t>
  </si>
  <si>
    <t>S10029</t>
  </si>
  <si>
    <t>18.10</t>
  </si>
  <si>
    <t>S07730</t>
  </si>
  <si>
    <t>IMPERMEABILIZAÇÃO SEMI-FLEXÍVEL COM TINTA ASFALTICA, 02 DEMÃOS, EM SUPERFÍCIES LISAS E DE PEQUENAS DIMENSÕES, TIPO VIAPLUS 1000, REF:VIAPOL OU SIMILAR</t>
  </si>
  <si>
    <t>LOCAÇÕES DIVERSAS</t>
  </si>
  <si>
    <t>19.1</t>
  </si>
  <si>
    <t xml:space="preserve">LOCACAO MENSAL DE ANDAIME METALICO TIPO FACHADEIRO, INCLUSIVE MONTAGEM </t>
  </si>
  <si>
    <t>M2/MÊS</t>
  </si>
  <si>
    <t>19.2</t>
  </si>
  <si>
    <t>MONTAGEM E DESMONTAGEM DE ANDAIME MODULAR FACHADEIRO</t>
  </si>
  <si>
    <t>19.3</t>
  </si>
  <si>
    <t>LOCACAO DE ANDAIME METALICO TUBULAR TIPO TORRE</t>
  </si>
  <si>
    <t>M/MÊS</t>
  </si>
  <si>
    <t>19.4</t>
  </si>
  <si>
    <t>MONTAGEM E DESMONTAGEM DE ANDAIME TUBULAR TIPO TORRE (EXCLUSIVE ANDIME E LIMPEZA). AF_11/2017</t>
  </si>
  <si>
    <t>19.5</t>
  </si>
  <si>
    <t>GUINCHO ELÉTRICO DE COLUNA, CAPACIDADE 400 KG, COM MOTO FREIO, MOTOR TRIFÁSICO DE 1,25 CV - MATERIAIS NA OPERAÇÃO. AF_03/2016</t>
  </si>
  <si>
    <t>CHP</t>
  </si>
  <si>
    <t>19.6</t>
  </si>
  <si>
    <t>S10033</t>
  </si>
  <si>
    <t xml:space="preserve">RETIRADA DE ENTULHO DA OBRA UTILIZANDO CAIXA COLETORA CAPACIDADE 5 M3 </t>
  </si>
  <si>
    <t>19.7</t>
  </si>
  <si>
    <t>TAPUME COM TELHA METÁLICA. AF_05/2018</t>
  </si>
  <si>
    <t>19.8</t>
  </si>
  <si>
    <t>S09731</t>
  </si>
  <si>
    <t>MÊS</t>
  </si>
  <si>
    <t>19.9</t>
  </si>
  <si>
    <t>LOCAÇÃO DE CONTAINER - ALMOXARIFADO COM BANHEIRO - 6,00 X 2,30M</t>
  </si>
  <si>
    <t>19.10</t>
  </si>
  <si>
    <t>LOCAÇÃO DE CONTAINER PARA SANITÁRIO</t>
  </si>
  <si>
    <t>19.11</t>
  </si>
  <si>
    <t>LOCAÇÃO DE CONTAINER PARA ESCRITÓRIO</t>
  </si>
  <si>
    <t>SERVIÇOS COMPLEMENTARES</t>
  </si>
  <si>
    <t>20.1</t>
  </si>
  <si>
    <t>S09713</t>
  </si>
  <si>
    <t>20.2</t>
  </si>
  <si>
    <t>S05971</t>
  </si>
  <si>
    <t>20.3</t>
  </si>
  <si>
    <t>TELHAMENTO COM TELHA METÁLICA TERMOACÚSTICA E = 30 MM, COM ATÉ 2 ÁGUAS</t>
  </si>
  <si>
    <t>20.4</t>
  </si>
  <si>
    <t>S02804</t>
  </si>
  <si>
    <t>20.5</t>
  </si>
  <si>
    <t>TUBO PVC DN 100 MM PARA DRENAGEM - FORNECIMENTO E INSTALACAO</t>
  </si>
  <si>
    <t>20.6</t>
  </si>
  <si>
    <t>TUBO CONCRETO SIMPLES DN 400 MM PARA DRENAGEM - FORNECIMENTO E INSTALAÇÃO</t>
  </si>
  <si>
    <t>20.7</t>
  </si>
  <si>
    <t>73799/001</t>
  </si>
  <si>
    <t>GRELHA EM FERRO FUNDIDO SIMPLES COM REQUADRO, CARGA MÁXIMA 12,5 T, 300 X 1000 MM, E = 15 MM, FORNECIDA E ASSENTADA</t>
  </si>
  <si>
    <t>20.8</t>
  </si>
  <si>
    <t xml:space="preserve">BOMBA RECALQUE D'AGUA PREDIO 3 A 5 PAVTOS </t>
  </si>
  <si>
    <t>20.9</t>
  </si>
  <si>
    <t xml:space="preserve">BOMBA RECALQUE D'AGUA PREDIO 6 A 10 PAVTOS - 2UD </t>
  </si>
  <si>
    <t>20.10</t>
  </si>
  <si>
    <t xml:space="preserve">TAMPA DE CONCRETO ARMADO 60X60X5CM PARA CAIXA </t>
  </si>
  <si>
    <t>20.11</t>
  </si>
  <si>
    <t>CONCRETO USINADO BOMBEAVEL, CLASSE DE RESISTENCIA C30, COM BRITA 0 E 1, SLUMP =100 +/- 20 MM, INCLUI SERVICO DE BOMBEAMENTO (NBR 8953)</t>
  </si>
  <si>
    <t>20.12</t>
  </si>
  <si>
    <t>ARMAÇÃO DE PILAR OU VIGA UTILIZANDO AÇO CA-50 DE 8.0MM</t>
  </si>
  <si>
    <t>KG</t>
  </si>
  <si>
    <t>20.13</t>
  </si>
  <si>
    <t>ARMAÇÃO DE PILAR OU VIGA UTILIZANDO AÇO CA-50 DE 10.0MM</t>
  </si>
  <si>
    <t>20.14</t>
  </si>
  <si>
    <t>MONTAGEM E DESMONTAGEM DE FÔRMA EM CHAPA DE MADEIRA COMPENSADA RESINADA, 4 UTILIZAÇÕES</t>
  </si>
  <si>
    <t>20.15</t>
  </si>
  <si>
    <t>S12436</t>
  </si>
  <si>
    <t>20.16</t>
  </si>
  <si>
    <t>I10849</t>
  </si>
  <si>
    <t>PLACA DE INAUGURAÇÃO - FORNECIMENTO E INSTALAÇÃO</t>
  </si>
  <si>
    <t>20.17</t>
  </si>
  <si>
    <t>S02450</t>
  </si>
  <si>
    <t>LIMPEZA FINAL DA OBRA</t>
  </si>
  <si>
    <t>20.18</t>
  </si>
  <si>
    <t>ESTACA RAÍZ, DIÂMETRO DE 31CM, SEM PRESENÇA DE ROCHA (EXCLUSIVE MOBILIZAÇÃO E DESMOBILIZAÇÃO). AF_03/2020</t>
  </si>
  <si>
    <t>20.19</t>
  </si>
  <si>
    <t>ARGAMASSA TRAÇO 1:2:8 (CIMENTO, CAL E AREIA MÉDIA)</t>
  </si>
  <si>
    <t>20.20</t>
  </si>
  <si>
    <t>S09563</t>
  </si>
  <si>
    <t>CANALETA DE DRENAGEM EM AÇO GALVANIZADO</t>
  </si>
  <si>
    <t>20.21</t>
  </si>
  <si>
    <t>TÊ, PVC, SERIE R, ÁGUA PLUVIAL, DN 150 X 150 MM, JUNTA ELÁSTICA, FORNECIDO E INSTALADO EM CONDUTORES VERTICAIS DE ÁGUAS PLUVIAIS. AF_12/2014</t>
  </si>
  <si>
    <t>20.22</t>
  </si>
  <si>
    <t>JOELHO 90 GRAUS, PVC, SERIE R, ÁGUA PLUVIAL, DN 150 MM, JUNTA ELÁSTICA, FORNECIDO E INSTALADO EM CONDUTORES VERTICAIS DE ÁGUAS PLUVIAIS. AF_12/2014</t>
  </si>
  <si>
    <t>20.23</t>
  </si>
  <si>
    <t>S09312</t>
  </si>
  <si>
    <t>PERFIL 'U' DE ACO LAMINADO, 'U' 152 X 15,6</t>
  </si>
  <si>
    <t>20.24</t>
  </si>
  <si>
    <t>S10762</t>
  </si>
  <si>
    <t>GRELHA DE RETORNO, TAMANHO 400 X 300 MM. - FORNECIMENTO E INSTALAÇÃO</t>
  </si>
  <si>
    <t>20.25</t>
  </si>
  <si>
    <t>TAPUME COM COMPENSADO DE MADEIRA. AF_05/2018</t>
  </si>
  <si>
    <t>20.26</t>
  </si>
  <si>
    <t>S04113</t>
  </si>
  <si>
    <t>TRATAMENTO DE FISSURAS COM ARGAMASSA DE CIMENTO E AREIA TRAÇO 1:3 (SEÇÃO ATÉ 5 X 5 CM)</t>
  </si>
  <si>
    <t>20.27</t>
  </si>
  <si>
    <t>S08434</t>
  </si>
  <si>
    <t>APLICAÇÃO DE UMA DEMÃO DE ADESIVO BIANCO</t>
  </si>
  <si>
    <t>20.28</t>
  </si>
  <si>
    <t>S04485</t>
  </si>
  <si>
    <t>MADEIRAMENTO EM MASSARANDUBA/MADEIRA DE LEI, PEÇA SERRADA 14CM X 14CM - VERGA OU CONTRAVERGA</t>
  </si>
  <si>
    <t>20.29</t>
  </si>
  <si>
    <t>S10016</t>
  </si>
  <si>
    <t>SONDAGEM TERRENO PERCUSSAO ENSAIO STP</t>
  </si>
  <si>
    <t>20.30</t>
  </si>
  <si>
    <t>S12329</t>
  </si>
  <si>
    <t>DESLOCAMENTO DE EQUIPAMENTO ENTRE FUROS EM TERRENO PLANO, CONSIDERANDO A DISTÂNCIA ACIMA DE 200M, PARA SONDAGEM A PERCUSSÃO</t>
  </si>
  <si>
    <t>20.31</t>
  </si>
  <si>
    <t>S07524</t>
  </si>
  <si>
    <t>MOBILIZACAO E INSTALACAO DE 01 EQUIPAMENTO DE SONDAGEM, DISTANCIA ATE 10KM</t>
  </si>
  <si>
    <t>20.32</t>
  </si>
  <si>
    <t>CONCRETO USINADO BOMBEAVEL, CLASSE DE RESISTENCIA C35, COM BRITA 0 E 1, SLUMP =100 +/- 20 MM, INCLUI SERVICO DE BOMBEAMENTO (NBR 8953)</t>
  </si>
  <si>
    <t>20.33</t>
  </si>
  <si>
    <t>AÇO 6.3MM</t>
  </si>
  <si>
    <t xml:space="preserve"> KG </t>
  </si>
  <si>
    <t>20.34</t>
  </si>
  <si>
    <t>AÇO 12.5MM</t>
  </si>
  <si>
    <t>20.35</t>
  </si>
  <si>
    <t>AÇO 16MM</t>
  </si>
  <si>
    <t>20.36</t>
  </si>
  <si>
    <t>AÇO 5.0MM</t>
  </si>
  <si>
    <t>20.37</t>
  </si>
  <si>
    <t>AÇO 4.2MM</t>
  </si>
  <si>
    <t>20.38</t>
  </si>
  <si>
    <t>S07393</t>
  </si>
  <si>
    <t>LAJE PRÉ-FABRICADA TRELIÇADA PARA PISO OU COBERTURA, INTEREIXO 38CM, H=12CM, EL. ENCHIMENTO EM EPS H=8CM, INCLUSIVE ESCORAMENTO EM MADEIRA E CAPEAMENTO 4CM.</t>
  </si>
  <si>
    <t>20.39</t>
  </si>
  <si>
    <t>S01429</t>
  </si>
  <si>
    <t>CAIXA D´ÁGUA EM FIBRA DE VIDRO - INSTALADA, SEM ESTRUTURA DE SUPORTE CAP. 2.000 LITROS</t>
  </si>
  <si>
    <t>20.40</t>
  </si>
  <si>
    <t>S07287</t>
  </si>
  <si>
    <t>CUBA DE AÇO INOX 304, DIMENSÕES 34 X 50CM, PARA INSTALAÇÃO EM BANCADA, C/ VÁLVULA CROMADA (DECA REF 1623), SIFÃO CROMADO (DECA REF C1680), TORNEIRA CROMADA (DECA LINHA C40 REF1159) E ENGATE DE PLÁSTICO OU SIMILARES</t>
  </si>
  <si>
    <t>20.41</t>
  </si>
  <si>
    <t>S02020</t>
  </si>
  <si>
    <t>20.42</t>
  </si>
  <si>
    <t>S07227</t>
  </si>
  <si>
    <t>20.43</t>
  </si>
  <si>
    <t>CUBA DE AÇO INOX 304, DIMENSÕES 60 X 50CM, PARA INSTALAÇÃO EM BANCADA, C/ VÁLVULA CROMADA (DECA REF 1623), SIFÃO CROMADO (DECA REF C1680), TORNEIRA CROMADA (DECA LINHA C40 REF1159) E ENGATE DE PLÁSTICO OU SIMILARES</t>
  </si>
  <si>
    <t>20.44</t>
  </si>
  <si>
    <t>S04428</t>
  </si>
  <si>
    <t>CUBA DE AÇO INOX 304, DIMENSÕES 80 X 50 X 30CM, E=0,8MM, COM VÁLVULA CROMADA, SIFÃO CROMADO (DECA REF C1680), TORNEIRA CROMADA (DECA LINHA C40 REF 1159) E ENGATE DE PLÁSTICO OU SIMILARES</t>
  </si>
  <si>
    <t>20.45</t>
  </si>
  <si>
    <t>PINTURA COM TINTA EPOXÍDICA DE ACABAMENTO PULVERIZADA (02 DEMÃOS).</t>
  </si>
  <si>
    <t>20.46</t>
  </si>
  <si>
    <t>TUBO DE COBRE CLASSE "A", DN = 1 " (28 MM), PARA INSTALACOES DE MEDIA PRESSAO</t>
  </si>
  <si>
    <t>20.47</t>
  </si>
  <si>
    <t>TUBO DE COBRE CLASSE "A", DN = 1/2 " (15 MM), PARA INSTALACOES DE MEDIA PRESSAO</t>
  </si>
  <si>
    <t>20.48</t>
  </si>
  <si>
    <t>TUBO DE COBRE CLASSE "A", DN = 1 1/2 " (42 MM), PARA INSTALACOES DE MEDIA PRESSAO</t>
  </si>
  <si>
    <t>20.49</t>
  </si>
  <si>
    <t>TUBO DE COBRE CLASSE "A", DN = 3/4 " (22 MM), PARA INSTALACOES DE MEDIA PRESSAO</t>
  </si>
  <si>
    <t>20.50</t>
  </si>
  <si>
    <t>S04731</t>
  </si>
  <si>
    <t>FORNECIMENTO E ASSENTAMENTO DE TUBO EM AÇO INOX 1 1/2</t>
  </si>
  <si>
    <t>20.51</t>
  </si>
  <si>
    <t>S09889</t>
  </si>
  <si>
    <t>FORNECIMENTO E ASSENTAMENTO DE TUBO EM AÇO INOX 1/2</t>
  </si>
  <si>
    <t>20.52</t>
  </si>
  <si>
    <t>S01951</t>
  </si>
  <si>
    <t>SANCA OU CIMALHA GESSO LARG= 6CM, APLICADA</t>
  </si>
  <si>
    <t>20.53</t>
  </si>
  <si>
    <t>ACABAMENTOS PARA FORRO (SANCA DE GESSO, COM ALTURA DE 15 CM, MONTADA NA OBRA)</t>
  </si>
  <si>
    <t>20.54</t>
  </si>
  <si>
    <t>CABO DE COBRE UNIPOLAR 50 MM2, BLINDADO, ISOLACAO 12/20 KV EPR</t>
  </si>
  <si>
    <t>20.55</t>
  </si>
  <si>
    <t>S10433</t>
  </si>
  <si>
    <t>FORNECIMENTO E INSTALAÇÃO DE CHAVE SECCIONADORA TRIPOLAR 15KV - 400A, COM PORTA FUSIVEL HH INCORPORADO</t>
  </si>
  <si>
    <t>20.56</t>
  </si>
  <si>
    <t>S11983</t>
  </si>
  <si>
    <t>PROLONGADOR E COMANDO PARA ACIONAMENTO DA CHAVE SECCIONADORA</t>
  </si>
  <si>
    <t>20.57</t>
  </si>
  <si>
    <t>CABO DE COBRE FLEXÍVEL ISOLADO, 120 MM², ANTI-CHAMA 0,6/1,0 KV,</t>
  </si>
  <si>
    <t>20.58</t>
  </si>
  <si>
    <t>S08911</t>
  </si>
  <si>
    <t>DISJUNTOR TRIPOLAR 100 A, COM CAIXA MOLDADA</t>
  </si>
  <si>
    <t>20.59</t>
  </si>
  <si>
    <t>S07930</t>
  </si>
  <si>
    <t>TERMINAL OU CONECTOR DE PRESSAO - PARA CABO 120MM2</t>
  </si>
  <si>
    <t>20.60</t>
  </si>
  <si>
    <t>ABRACADEIRA DE NYLON PARA AMARRACAO DE CABOS</t>
  </si>
  <si>
    <t>20.61</t>
  </si>
  <si>
    <t>BUCHA PLÁSTICA COM PARAFUSO 12MM</t>
  </si>
  <si>
    <t>20.62</t>
  </si>
  <si>
    <t>ARRUELA LISA 3/8</t>
  </si>
  <si>
    <t>20.63</t>
  </si>
  <si>
    <t>S00428</t>
  </si>
  <si>
    <t>ARRUELA DE PRESSÃO 3/8</t>
  </si>
  <si>
    <t>20.64</t>
  </si>
  <si>
    <t>PARAFUSO CABEÇA SEXTAVADA 3/8"</t>
  </si>
  <si>
    <t>20.65</t>
  </si>
  <si>
    <t>PORCA SEXTAVADA 3/8"</t>
  </si>
  <si>
    <t>20.66</t>
  </si>
  <si>
    <t>S09221</t>
  </si>
  <si>
    <t>EXTINTOR DE PÓ QUÍMICO ABC, CAPACIDADE 8 KG, ALCANCE MÉDIO DO JATO 5M , TEMPO DE DESCARGA 12S, NBR9443, 9444, 10721</t>
  </si>
  <si>
    <t>20.67</t>
  </si>
  <si>
    <t>MANGUEIRA PARA INCÊNDIO - FORNECIMENTO E INSTALAÇÃO</t>
  </si>
  <si>
    <t>20.68</t>
  </si>
  <si>
    <t>S2228</t>
  </si>
  <si>
    <t>FITA ANTIDERRAPANTE - FORNECIMENTO E INSTALAÇÃO</t>
  </si>
  <si>
    <t>20.69</t>
  </si>
  <si>
    <t>S00009</t>
  </si>
  <si>
    <t>RETIRADA DE TELHAS DE CERAMICAS</t>
  </si>
  <si>
    <t>20.70</t>
  </si>
  <si>
    <t>FABRICAÇÃO E INSTALAÇÃO DE ESTRUTURA PONTALETADA DE MADEIRA PARA TELHA DE FIBROCIMENTO</t>
  </si>
  <si>
    <t>20.71</t>
  </si>
  <si>
    <t>FABRICAÇÃO E INSTALAÇÃO DE ESTRUTURA PONTALETADA DE MADEIRA PARA TELHA CERÂMICA</t>
  </si>
  <si>
    <t>20.72</t>
  </si>
  <si>
    <t>TUBO, PVC, SOLDÁVEL, DN 25MM, INSTALADO EM DRENO DE AR-CONDICIONADO - FORNECIMENTO E INSTALAÇÃO</t>
  </si>
  <si>
    <t>SERVIÇOS FINAIS E DESMOBILIZAÇÃO</t>
  </si>
  <si>
    <t>22.1</t>
  </si>
  <si>
    <t>S11358</t>
  </si>
  <si>
    <t>REMOÇÃO DE TAPUME</t>
  </si>
  <si>
    <t>22.2</t>
  </si>
  <si>
    <t>S08328</t>
  </si>
  <si>
    <t>REMOÇÃO DE BARRACÃO DE OBRA</t>
  </si>
  <si>
    <t>22.3</t>
  </si>
  <si>
    <t>REMOÇÃO DE PLACA DE OBRA</t>
  </si>
  <si>
    <t>22.4</t>
  </si>
  <si>
    <t>22.5</t>
  </si>
  <si>
    <t>22.6</t>
  </si>
  <si>
    <t>22.7</t>
  </si>
  <si>
    <t>22.8</t>
  </si>
  <si>
    <t>SUBTOTAL I:</t>
  </si>
  <si>
    <t>B.D.I.:</t>
  </si>
  <si>
    <t>SUBTOTAL II:</t>
  </si>
  <si>
    <t xml:space="preserve">ADMINISTRAÇÃO LOCAL </t>
  </si>
  <si>
    <t>ENGENHEIRO CIVIL DE OBRA COM ENCARGOS COMPLEMENTARES (4H)</t>
  </si>
  <si>
    <t>ENGENHEIRO ELETRICISTA COM ENCARGOS COMPLEMENTARES (4)</t>
  </si>
  <si>
    <t>ENCARREGADO GERAL DE OBRAS COM ENCARGOS COMPLEMENTARES</t>
  </si>
  <si>
    <t>ALMOXARIFE COM ENCARGOS COMPLEMENTARES</t>
  </si>
  <si>
    <t>DNIT</t>
  </si>
  <si>
    <t>MANUTENÇÃO DE ESCRITÓRIO</t>
  </si>
  <si>
    <t>S04415</t>
  </si>
  <si>
    <t>22.9</t>
  </si>
  <si>
    <t>S02789</t>
  </si>
  <si>
    <t>VEICULO COMERCIAL LEVE (PICK-UP) COM CAPACIDADE DE CARGA DE 700 KG, MOTOR FLEX (LOCACAO)</t>
  </si>
  <si>
    <t>22.10</t>
  </si>
  <si>
    <t>GASOLINA COMUM</t>
  </si>
  <si>
    <t>L</t>
  </si>
  <si>
    <t>22.11</t>
  </si>
  <si>
    <t>VIGIA NOTURNO COM ENCARGOS COMPLEMENTARES (2 PESSOAS)</t>
  </si>
  <si>
    <t>SUBTOTAL III:</t>
  </si>
  <si>
    <t>SUBTOTAL IV:</t>
  </si>
  <si>
    <t>TOTAL:</t>
  </si>
  <si>
    <t>Observações:</t>
  </si>
  <si>
    <t>1 - Itens com códigos sem letra são preços de Sinapi.</t>
  </si>
  <si>
    <t>2 - Itens com os códigos com as letras "S" e "I" na frente são resoectivamente composições e insumos do Sistema Orse.</t>
  </si>
  <si>
    <t>3 - Preços Sinapi: Data Referência Técnica: 11/09/2020</t>
  </si>
  <si>
    <t>4 - Preços Orse:   Data Referência Junho/2020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</si>
</sst>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d/m/yy\ h:mm;@"/>
    <numFmt numFmtId="167" formatCode="#,##0.00\ ;&quot; (&quot;#,##0.00\);&quot; -&quot;#\ ;@\ "/>
  </numFmts>
  <fonts count="4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 Narrow"/>
      <family val="2"/>
    </font>
    <font>
      <b/>
      <sz val="12"/>
      <name val="Arial Narrow"/>
      <family val="2"/>
    </font>
    <font>
      <sz val="12"/>
      <color indexed="8"/>
      <name val="Arial Narrow"/>
      <family val="2"/>
    </font>
    <font>
      <b/>
      <sz val="12"/>
      <color indexed="8"/>
      <name val="Arial Narrow"/>
      <family val="2"/>
    </font>
    <font>
      <sz val="8"/>
      <name val="Arial"/>
      <family val="2"/>
    </font>
    <font>
      <sz val="10"/>
      <color indexed="8"/>
      <name val="Arial Narrow"/>
      <family val="2"/>
    </font>
    <font>
      <b/>
      <sz val="16"/>
      <name val="Arial Narrow"/>
      <family val="2"/>
    </font>
    <font>
      <sz val="12"/>
      <name val="Arial Narrow"/>
      <family val="2"/>
    </font>
    <font>
      <i/>
      <sz val="8"/>
      <name val="Arial Narrow"/>
      <family val="2"/>
    </font>
    <font>
      <b/>
      <sz val="9"/>
      <name val="Arial Narrow"/>
      <family val="2"/>
    </font>
    <font>
      <i/>
      <sz val="8"/>
      <color indexed="8"/>
      <name val="Arial Narrow"/>
      <family val="2"/>
    </font>
    <font>
      <sz val="9"/>
      <color indexed="8"/>
      <name val="Arial Narrow"/>
      <family val="2"/>
    </font>
    <font>
      <b/>
      <sz val="14"/>
      <color indexed="8"/>
      <name val="Arial Narrow"/>
      <family val="2"/>
    </font>
    <font>
      <b/>
      <i/>
      <sz val="10"/>
      <color rgb="FF000000"/>
      <name val="Arial Narrow"/>
      <family val="2"/>
    </font>
    <font>
      <sz val="8"/>
      <name val="Arial Narrow"/>
      <family val="2"/>
    </font>
    <font>
      <sz val="11"/>
      <color indexed="8"/>
      <name val="Arial Narrow"/>
      <family val="2"/>
    </font>
    <font>
      <i/>
      <sz val="10"/>
      <color rgb="FF000000"/>
      <name val="Arial Narrow"/>
      <family val="2"/>
    </font>
    <font>
      <sz val="14"/>
      <name val="Arial Narrow"/>
      <family val="2"/>
    </font>
    <font>
      <sz val="14"/>
      <color rgb="FF000000"/>
      <name val="Arial Narrow"/>
      <family val="2"/>
    </font>
    <font>
      <sz val="14"/>
      <color indexed="8"/>
      <name val="Arial Narrow"/>
      <family val="2"/>
    </font>
    <font>
      <i/>
      <sz val="9"/>
      <color rgb="FF000000"/>
      <name val="Arial Narrow"/>
      <family val="2"/>
    </font>
    <font>
      <b/>
      <i/>
      <sz val="10"/>
      <color indexed="8"/>
      <name val="Arial Narrow"/>
      <family val="2"/>
    </font>
    <font>
      <b/>
      <sz val="14"/>
      <name val="Arial Narrow"/>
      <family val="2"/>
    </font>
    <font>
      <b/>
      <sz val="9"/>
      <color indexed="8"/>
      <name val="Arial Narrow"/>
      <family val="2"/>
    </font>
    <font>
      <i/>
      <sz val="10"/>
      <name val="Arial Narrow"/>
      <family val="2"/>
    </font>
    <font>
      <sz val="10"/>
      <name val="Mangal"/>
      <family val="2"/>
    </font>
    <font>
      <i/>
      <sz val="10"/>
      <color indexed="8"/>
      <name val="Arial Narrow"/>
      <family val="2"/>
    </font>
    <font>
      <b/>
      <sz val="14"/>
      <color rgb="FF000000"/>
      <name val="Arial Narrow"/>
      <family val="2"/>
    </font>
    <font>
      <b/>
      <sz val="14"/>
      <color rgb="FFFF0000"/>
      <name val="Arial Narrow"/>
      <family val="2"/>
    </font>
    <font>
      <b/>
      <sz val="9"/>
      <color indexed="62"/>
      <name val="Arial Narrow"/>
      <family val="2"/>
    </font>
    <font>
      <b/>
      <sz val="14"/>
      <color indexed="1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5"/>
      <name val="Arial Narrow"/>
      <family val="2"/>
    </font>
    <font>
      <sz val="9"/>
      <name val="Arial Narrow"/>
      <family val="2"/>
    </font>
    <font>
      <sz val="12"/>
      <color rgb="FF000000"/>
      <name val="Arial Narrow"/>
      <family val="2"/>
    </font>
    <font>
      <b/>
      <sz val="12"/>
      <color theme="1"/>
      <name val="Arial Narrow"/>
      <family val="2"/>
    </font>
    <font>
      <i/>
      <sz val="10"/>
      <color rgb="FF1F3864"/>
      <name val="Verdana"/>
      <family val="2"/>
    </font>
    <font>
      <i/>
      <sz val="9"/>
      <color rgb="FF1F386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8" fillId="0" borderId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37">
    <xf numFmtId="0" fontId="0" fillId="0" borderId="0" xfId="0"/>
    <xf numFmtId="164" fontId="3" fillId="0" borderId="1" xfId="3" applyFont="1" applyFill="1" applyBorder="1" applyAlignment="1" applyProtection="1">
      <alignment horizontal="center" vertical="center" wrapText="1"/>
      <protection locked="0"/>
    </xf>
    <xf numFmtId="164" fontId="3" fillId="0" borderId="2" xfId="3" applyFont="1" applyFill="1" applyBorder="1" applyAlignment="1" applyProtection="1">
      <alignment horizontal="center" vertical="center" wrapText="1"/>
      <protection locked="0"/>
    </xf>
    <xf numFmtId="164" fontId="4" fillId="0" borderId="2" xfId="3" applyFont="1" applyFill="1" applyBorder="1" applyAlignment="1" applyProtection="1">
      <alignment horizontal="center" wrapText="1"/>
      <protection locked="0"/>
    </xf>
    <xf numFmtId="165" fontId="5" fillId="0" borderId="2" xfId="1" applyFont="1" applyBorder="1" applyAlignment="1" applyProtection="1">
      <protection locked="0"/>
    </xf>
    <xf numFmtId="10" fontId="6" fillId="0" borderId="3" xfId="2" applyNumberFormat="1" applyFont="1" applyBorder="1" applyAlignment="1" applyProtection="1">
      <protection locked="0"/>
    </xf>
    <xf numFmtId="0" fontId="7" fillId="0" borderId="0" xfId="0" applyFont="1"/>
    <xf numFmtId="0" fontId="8" fillId="0" borderId="0" xfId="4" applyFont="1" applyAlignment="1">
      <alignment vertical="center"/>
    </xf>
    <xf numFmtId="165" fontId="8" fillId="0" borderId="0" xfId="1" applyFont="1" applyAlignment="1">
      <alignment horizontal="center" vertical="center"/>
    </xf>
    <xf numFmtId="49" fontId="9" fillId="0" borderId="4" xfId="5" applyNumberFormat="1" applyFont="1" applyBorder="1" applyAlignment="1" applyProtection="1">
      <alignment horizontal="center" vertical="center" wrapText="1"/>
      <protection locked="0"/>
    </xf>
    <xf numFmtId="49" fontId="9" fillId="0" borderId="0" xfId="5" applyNumberFormat="1" applyFont="1" applyAlignment="1" applyProtection="1">
      <alignment horizontal="center" vertical="center" wrapText="1"/>
      <protection locked="0"/>
    </xf>
    <xf numFmtId="4" fontId="8" fillId="0" borderId="0" xfId="1" applyNumberFormat="1" applyFont="1" applyBorder="1" applyAlignment="1" applyProtection="1">
      <alignment horizontal="center"/>
      <protection locked="0"/>
    </xf>
    <xf numFmtId="165" fontId="8" fillId="0" borderId="0" xfId="1" applyFont="1" applyBorder="1" applyAlignment="1" applyProtection="1">
      <protection locked="0"/>
    </xf>
    <xf numFmtId="10" fontId="6" fillId="0" borderId="5" xfId="2" applyNumberFormat="1" applyFont="1" applyBorder="1" applyAlignment="1" applyProtection="1">
      <protection locked="0"/>
    </xf>
    <xf numFmtId="49" fontId="4" fillId="0" borderId="4" xfId="5" applyNumberFormat="1" applyFont="1" applyBorder="1" applyAlignment="1" applyProtection="1">
      <alignment horizontal="center" vertical="center" wrapText="1"/>
      <protection locked="0"/>
    </xf>
    <xf numFmtId="49" fontId="4" fillId="0" borderId="0" xfId="5" applyNumberFormat="1" applyFont="1" applyAlignment="1" applyProtection="1">
      <alignment horizontal="center" vertical="center" wrapText="1"/>
      <protection locked="0"/>
    </xf>
    <xf numFmtId="49" fontId="4" fillId="0" borderId="0" xfId="5" applyNumberFormat="1" applyFont="1" applyAlignment="1" applyProtection="1">
      <alignment vertical="center" wrapText="1"/>
      <protection locked="0"/>
    </xf>
    <xf numFmtId="165" fontId="5" fillId="0" borderId="0" xfId="1" applyFont="1" applyBorder="1" applyAlignment="1" applyProtection="1">
      <protection locked="0"/>
    </xf>
    <xf numFmtId="49" fontId="10" fillId="0" borderId="4" xfId="6" applyNumberFormat="1" applyFont="1" applyBorder="1" applyAlignment="1" applyProtection="1">
      <alignment horizontal="left" vertical="center" wrapText="1"/>
      <protection locked="0"/>
    </xf>
    <xf numFmtId="49" fontId="10" fillId="0" borderId="0" xfId="6" applyNumberFormat="1" applyFont="1" applyAlignment="1" applyProtection="1">
      <alignment horizontal="left" vertical="center" wrapText="1"/>
      <protection locked="0"/>
    </xf>
    <xf numFmtId="49" fontId="10" fillId="0" borderId="0" xfId="6" applyNumberFormat="1" applyFont="1" applyAlignment="1" applyProtection="1">
      <alignment vertical="distributed" wrapText="1"/>
      <protection locked="0"/>
    </xf>
    <xf numFmtId="49" fontId="10" fillId="0" borderId="0" xfId="6" applyNumberFormat="1" applyFont="1" applyAlignment="1" applyProtection="1">
      <alignment horizontal="center" wrapText="1"/>
      <protection locked="0"/>
    </xf>
    <xf numFmtId="49" fontId="4" fillId="0" borderId="0" xfId="3" applyNumberFormat="1" applyFont="1" applyFill="1" applyBorder="1" applyAlignment="1" applyProtection="1">
      <alignment horizontal="center" wrapText="1"/>
      <protection locked="0"/>
    </xf>
    <xf numFmtId="49" fontId="11" fillId="0" borderId="0" xfId="7" applyNumberFormat="1" applyFont="1" applyAlignment="1" applyProtection="1">
      <alignment horizontal="center" vertical="center" wrapText="1"/>
      <protection locked="0"/>
    </xf>
    <xf numFmtId="0" fontId="9" fillId="0" borderId="4" xfId="8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8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7" applyNumberFormat="1" applyFont="1" applyAlignment="1" applyProtection="1">
      <alignment horizontal="center" vertical="center" wrapText="1"/>
      <protection locked="0"/>
    </xf>
    <xf numFmtId="49" fontId="10" fillId="0" borderId="4" xfId="6" applyNumberFormat="1" applyFont="1" applyBorder="1" applyAlignment="1" applyProtection="1">
      <alignment horizontal="left" vertical="center" wrapText="1"/>
      <protection locked="0"/>
    </xf>
    <xf numFmtId="49" fontId="10" fillId="0" borderId="0" xfId="6" applyNumberFormat="1" applyFont="1" applyAlignment="1" applyProtection="1">
      <alignment horizontal="left" vertical="center" wrapText="1"/>
      <protection locked="0"/>
    </xf>
    <xf numFmtId="49" fontId="10" fillId="0" borderId="0" xfId="6" applyNumberFormat="1" applyFont="1" applyAlignment="1" applyProtection="1">
      <alignment horizontal="left" wrapText="1"/>
      <protection locked="0"/>
    </xf>
    <xf numFmtId="0" fontId="4" fillId="0" borderId="4" xfId="8" applyNumberFormat="1" applyFont="1" applyFill="1" applyBorder="1" applyAlignment="1" applyProtection="1">
      <alignment horizontal="left" vertical="center"/>
      <protection locked="0"/>
    </xf>
    <xf numFmtId="0" fontId="4" fillId="0" borderId="0" xfId="8" applyNumberFormat="1" applyFont="1" applyFill="1" applyBorder="1" applyAlignment="1" applyProtection="1">
      <alignment horizontal="left" vertical="center"/>
      <protection locked="0"/>
    </xf>
    <xf numFmtId="39" fontId="4" fillId="0" borderId="0" xfId="3" applyNumberFormat="1" applyFont="1" applyFill="1" applyBorder="1" applyAlignment="1" applyProtection="1">
      <alignment horizontal="center" wrapText="1"/>
      <protection locked="0"/>
    </xf>
    <xf numFmtId="0" fontId="4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7" xfId="4" applyFont="1" applyFill="1" applyBorder="1" applyAlignment="1" applyProtection="1">
      <alignment vertical="distributed" wrapText="1"/>
      <protection locked="0"/>
    </xf>
    <xf numFmtId="165" fontId="4" fillId="2" borderId="7" xfId="1" applyFont="1" applyFill="1" applyBorder="1" applyAlignment="1" applyProtection="1">
      <alignment horizontal="center" wrapText="1"/>
      <protection locked="0"/>
    </xf>
    <xf numFmtId="4" fontId="4" fillId="2" borderId="7" xfId="1" applyNumberFormat="1" applyFont="1" applyFill="1" applyBorder="1" applyAlignment="1" applyProtection="1">
      <alignment horizontal="center" wrapText="1"/>
      <protection locked="0"/>
    </xf>
    <xf numFmtId="165" fontId="4" fillId="2" borderId="8" xfId="1" applyFont="1" applyFill="1" applyBorder="1" applyAlignment="1" applyProtection="1">
      <alignment horizontal="center"/>
      <protection locked="0"/>
    </xf>
    <xf numFmtId="0" fontId="13" fillId="0" borderId="0" xfId="4" applyFont="1" applyAlignment="1">
      <alignment horizontal="center" vertical="center"/>
    </xf>
    <xf numFmtId="0" fontId="14" fillId="0" borderId="0" xfId="4" applyFont="1" applyAlignment="1">
      <alignment vertical="center"/>
    </xf>
    <xf numFmtId="165" fontId="14" fillId="0" borderId="0" xfId="1" applyFont="1" applyAlignment="1">
      <alignment horizontal="center" vertical="center"/>
    </xf>
    <xf numFmtId="0" fontId="15" fillId="3" borderId="6" xfId="1" applyNumberFormat="1" applyFont="1" applyFill="1" applyBorder="1" applyAlignment="1" applyProtection="1">
      <alignment horizontal="center" vertical="center"/>
      <protection locked="0"/>
    </xf>
    <xf numFmtId="14" fontId="16" fillId="4" borderId="7" xfId="9" applyNumberFormat="1" applyFont="1" applyFill="1" applyBorder="1" applyAlignment="1" applyProtection="1">
      <alignment horizontal="center" vertical="center" wrapText="1"/>
      <protection locked="0"/>
    </xf>
    <xf numFmtId="0" fontId="15" fillId="3" borderId="7" xfId="4" applyFont="1" applyFill="1" applyBorder="1" applyAlignment="1" applyProtection="1">
      <alignment vertical="distributed" wrapText="1"/>
      <protection locked="0"/>
    </xf>
    <xf numFmtId="165" fontId="15" fillId="3" borderId="7" xfId="1" applyFont="1" applyFill="1" applyBorder="1" applyAlignment="1" applyProtection="1">
      <alignment horizontal="center"/>
      <protection locked="0"/>
    </xf>
    <xf numFmtId="4" fontId="15" fillId="3" borderId="7" xfId="1" applyNumberFormat="1" applyFont="1" applyFill="1" applyBorder="1" applyAlignment="1" applyProtection="1">
      <alignment horizontal="right"/>
      <protection locked="0"/>
    </xf>
    <xf numFmtId="164" fontId="15" fillId="3" borderId="8" xfId="3" applyFont="1" applyFill="1" applyBorder="1" applyAlignment="1" applyProtection="1">
      <alignment horizontal="right"/>
      <protection locked="0"/>
    </xf>
    <xf numFmtId="10" fontId="17" fillId="0" borderId="0" xfId="2" applyNumberFormat="1" applyFont="1" applyFill="1" applyBorder="1" applyAlignment="1">
      <alignment horizontal="center"/>
    </xf>
    <xf numFmtId="164" fontId="18" fillId="0" borderId="0" xfId="3" applyFont="1" applyAlignment="1">
      <alignment vertical="center"/>
    </xf>
    <xf numFmtId="0" fontId="5" fillId="0" borderId="9" xfId="1" applyNumberFormat="1" applyFont="1" applyFill="1" applyBorder="1" applyAlignment="1" applyProtection="1">
      <alignment horizontal="center" vertical="center"/>
      <protection locked="0"/>
    </xf>
    <xf numFmtId="0" fontId="19" fillId="5" borderId="10" xfId="9" applyNumberFormat="1" applyFont="1" applyFill="1" applyBorder="1" applyAlignment="1" applyProtection="1">
      <alignment horizontal="center" vertical="center"/>
      <protection locked="0"/>
    </xf>
    <xf numFmtId="0" fontId="20" fillId="0" borderId="11" xfId="4" applyFont="1" applyBorder="1" applyAlignment="1" applyProtection="1">
      <alignment vertical="distributed"/>
      <protection locked="0"/>
    </xf>
    <xf numFmtId="165" fontId="21" fillId="0" borderId="11" xfId="9" applyNumberFormat="1" applyFont="1" applyFill="1" applyBorder="1" applyAlignment="1" applyProtection="1">
      <alignment horizontal="center"/>
      <protection locked="0"/>
    </xf>
    <xf numFmtId="4" fontId="21" fillId="0" borderId="11" xfId="9" applyNumberFormat="1" applyFont="1" applyFill="1" applyBorder="1" applyAlignment="1" applyProtection="1">
      <alignment horizontal="right"/>
      <protection locked="0"/>
    </xf>
    <xf numFmtId="4" fontId="21" fillId="0" borderId="12" xfId="9" applyNumberFormat="1" applyFont="1" applyFill="1" applyBorder="1" applyAlignment="1" applyProtection="1">
      <alignment horizontal="right"/>
      <protection locked="0"/>
    </xf>
    <xf numFmtId="4" fontId="22" fillId="0" borderId="13" xfId="1" applyNumberFormat="1" applyFont="1" applyFill="1" applyBorder="1" applyAlignment="1" applyProtection="1">
      <alignment horizontal="right"/>
      <protection locked="0"/>
    </xf>
    <xf numFmtId="165" fontId="21" fillId="5" borderId="12" xfId="9" applyNumberFormat="1" applyFont="1" applyFill="1" applyBorder="1" applyAlignment="1" applyProtection="1">
      <alignment horizontal="center"/>
      <protection locked="0"/>
    </xf>
    <xf numFmtId="0" fontId="19" fillId="5" borderId="12" xfId="9" quotePrefix="1" applyNumberFormat="1" applyFont="1" applyFill="1" applyBorder="1" applyAlignment="1" applyProtection="1">
      <alignment horizontal="center" vertical="center"/>
      <protection locked="0"/>
    </xf>
    <xf numFmtId="0" fontId="20" fillId="5" borderId="12" xfId="4" applyFont="1" applyFill="1" applyBorder="1" applyAlignment="1" applyProtection="1">
      <alignment vertical="distributed"/>
      <protection locked="0"/>
    </xf>
    <xf numFmtId="4" fontId="21" fillId="5" borderId="12" xfId="9" applyNumberFormat="1" applyFont="1" applyFill="1" applyBorder="1" applyAlignment="1" applyProtection="1">
      <alignment horizontal="right"/>
      <protection locked="0"/>
    </xf>
    <xf numFmtId="4" fontId="20" fillId="0" borderId="12" xfId="10" applyNumberFormat="1" applyFont="1" applyFill="1" applyBorder="1" applyAlignment="1" applyProtection="1">
      <alignment horizontal="right"/>
      <protection locked="0"/>
    </xf>
    <xf numFmtId="0" fontId="19" fillId="5" borderId="11" xfId="9" quotePrefix="1" applyNumberFormat="1" applyFont="1" applyFill="1" applyBorder="1" applyAlignment="1" applyProtection="1">
      <alignment horizontal="center" vertical="center"/>
      <protection locked="0"/>
    </xf>
    <xf numFmtId="0" fontId="20" fillId="5" borderId="11" xfId="4" applyFont="1" applyFill="1" applyBorder="1" applyAlignment="1" applyProtection="1">
      <alignment vertical="distributed"/>
      <protection locked="0"/>
    </xf>
    <xf numFmtId="165" fontId="21" fillId="5" borderId="11" xfId="9" applyNumberFormat="1" applyFont="1" applyFill="1" applyBorder="1" applyAlignment="1" applyProtection="1">
      <alignment horizontal="center"/>
      <protection locked="0"/>
    </xf>
    <xf numFmtId="4" fontId="21" fillId="5" borderId="11" xfId="9" applyNumberFormat="1" applyFont="1" applyFill="1" applyBorder="1" applyAlignment="1" applyProtection="1">
      <alignment horizontal="right"/>
      <protection locked="0"/>
    </xf>
    <xf numFmtId="4" fontId="20" fillId="0" borderId="11" xfId="10" applyNumberFormat="1" applyFont="1" applyFill="1" applyBorder="1" applyAlignment="1" applyProtection="1">
      <alignment horizontal="right"/>
      <protection locked="0"/>
    </xf>
    <xf numFmtId="0" fontId="23" fillId="0" borderId="10" xfId="9" applyNumberFormat="1" applyFont="1" applyFill="1" applyBorder="1" applyAlignment="1" applyProtection="1">
      <alignment horizontal="center" vertical="center"/>
      <protection locked="0"/>
    </xf>
    <xf numFmtId="0" fontId="21" fillId="0" borderId="12" xfId="0" applyFont="1" applyBorder="1" applyAlignment="1" applyProtection="1">
      <alignment vertical="distributed" wrapText="1"/>
      <protection locked="0"/>
    </xf>
    <xf numFmtId="165" fontId="21" fillId="0" borderId="12" xfId="9" applyNumberFormat="1" applyFont="1" applyFill="1" applyBorder="1" applyAlignment="1" applyProtection="1">
      <alignment horizontal="center"/>
      <protection locked="0"/>
    </xf>
    <xf numFmtId="0" fontId="24" fillId="3" borderId="7" xfId="1" applyNumberFormat="1" applyFont="1" applyFill="1" applyBorder="1" applyAlignment="1" applyProtection="1">
      <alignment horizontal="center" vertical="center"/>
      <protection locked="0"/>
    </xf>
    <xf numFmtId="0" fontId="25" fillId="4" borderId="7" xfId="4" applyFont="1" applyFill="1" applyBorder="1" applyAlignment="1" applyProtection="1">
      <alignment vertical="distributed" wrapText="1"/>
      <protection locked="0"/>
    </xf>
    <xf numFmtId="164" fontId="25" fillId="3" borderId="8" xfId="3" applyFont="1" applyFill="1" applyBorder="1" applyAlignment="1" applyProtection="1">
      <alignment horizontal="right"/>
      <protection locked="0"/>
    </xf>
    <xf numFmtId="164" fontId="26" fillId="0" borderId="0" xfId="3" applyFont="1" applyAlignment="1">
      <alignment vertical="center"/>
    </xf>
    <xf numFmtId="0" fontId="19" fillId="0" borderId="11" xfId="9" applyNumberFormat="1" applyFont="1" applyFill="1" applyBorder="1" applyAlignment="1" applyProtection="1">
      <alignment horizontal="center" vertical="center"/>
      <protection locked="0"/>
    </xf>
    <xf numFmtId="4" fontId="22" fillId="6" borderId="13" xfId="1" applyNumberFormat="1" applyFont="1" applyFill="1" applyBorder="1" applyAlignment="1" applyProtection="1">
      <alignment horizontal="right"/>
      <protection locked="0"/>
    </xf>
    <xf numFmtId="0" fontId="19" fillId="5" borderId="11" xfId="9" applyNumberFormat="1" applyFont="1" applyFill="1" applyBorder="1" applyAlignment="1" applyProtection="1">
      <alignment horizontal="center" vertical="center"/>
      <protection locked="0"/>
    </xf>
    <xf numFmtId="0" fontId="19" fillId="5" borderId="12" xfId="9" applyNumberFormat="1" applyFont="1" applyFill="1" applyBorder="1" applyAlignment="1" applyProtection="1">
      <alignment horizontal="center" vertical="center"/>
      <protection locked="0"/>
    </xf>
    <xf numFmtId="0" fontId="20" fillId="0" borderId="12" xfId="4" applyFont="1" applyBorder="1" applyAlignment="1" applyProtection="1">
      <alignment vertical="distributed"/>
      <protection locked="0"/>
    </xf>
    <xf numFmtId="0" fontId="27" fillId="0" borderId="12" xfId="9" applyNumberFormat="1" applyFont="1" applyFill="1" applyBorder="1" applyAlignment="1" applyProtection="1">
      <alignment horizontal="center" vertical="center"/>
      <protection locked="0"/>
    </xf>
    <xf numFmtId="0" fontId="21" fillId="0" borderId="12" xfId="4" applyFont="1" applyBorder="1" applyAlignment="1" applyProtection="1">
      <alignment vertical="distributed" wrapText="1"/>
      <protection locked="0"/>
    </xf>
    <xf numFmtId="0" fontId="27" fillId="5" borderId="12" xfId="9" applyNumberFormat="1" applyFont="1" applyFill="1" applyBorder="1" applyAlignment="1" applyProtection="1">
      <alignment horizontal="center" vertical="center"/>
      <protection locked="0"/>
    </xf>
    <xf numFmtId="0" fontId="19" fillId="0" borderId="12" xfId="9" applyNumberFormat="1" applyFont="1" applyFill="1" applyBorder="1" applyAlignment="1" applyProtection="1">
      <alignment horizontal="center" vertical="center"/>
      <protection locked="0"/>
    </xf>
    <xf numFmtId="0" fontId="19" fillId="0" borderId="14" xfId="9" applyNumberFormat="1" applyFont="1" applyFill="1" applyBorder="1" applyAlignment="1" applyProtection="1">
      <alignment horizontal="center" vertical="center"/>
      <protection locked="0"/>
    </xf>
    <xf numFmtId="0" fontId="20" fillId="0" borderId="14" xfId="4" applyFont="1" applyBorder="1" applyAlignment="1" applyProtection="1">
      <alignment vertical="distributed"/>
      <protection locked="0"/>
    </xf>
    <xf numFmtId="4" fontId="21" fillId="0" borderId="14" xfId="9" applyNumberFormat="1" applyFont="1" applyFill="1" applyBorder="1" applyAlignment="1" applyProtection="1">
      <alignment horizontal="right"/>
      <protection locked="0"/>
    </xf>
    <xf numFmtId="165" fontId="21" fillId="0" borderId="11" xfId="9" quotePrefix="1" applyNumberFormat="1" applyFont="1" applyFill="1" applyBorder="1" applyAlignment="1" applyProtection="1">
      <alignment horizontal="center"/>
      <protection locked="0"/>
    </xf>
    <xf numFmtId="49" fontId="29" fillId="0" borderId="15" xfId="11" applyNumberFormat="1" applyFont="1" applyFill="1" applyBorder="1" applyAlignment="1" applyProtection="1">
      <alignment horizontal="center" vertical="center"/>
      <protection locked="0"/>
    </xf>
    <xf numFmtId="0" fontId="22" fillId="0" borderId="14" xfId="0" applyFont="1" applyBorder="1" applyAlignment="1" applyProtection="1">
      <alignment vertical="distributed" wrapText="1"/>
      <protection locked="0"/>
    </xf>
    <xf numFmtId="167" fontId="22" fillId="0" borderId="12" xfId="11" applyFont="1" applyFill="1" applyBorder="1" applyAlignment="1" applyProtection="1">
      <alignment horizontal="center"/>
      <protection locked="0"/>
    </xf>
    <xf numFmtId="0" fontId="30" fillId="4" borderId="7" xfId="9" applyNumberFormat="1" applyFont="1" applyFill="1" applyBorder="1" applyAlignment="1" applyProtection="1">
      <alignment horizontal="center" vertical="center"/>
      <protection locked="0"/>
    </xf>
    <xf numFmtId="165" fontId="30" fillId="4" borderId="7" xfId="9" applyNumberFormat="1" applyFont="1" applyFill="1" applyBorder="1" applyAlignment="1" applyProtection="1">
      <alignment horizontal="center"/>
      <protection locked="0"/>
    </xf>
    <xf numFmtId="4" fontId="30" fillId="4" borderId="7" xfId="9" applyNumberFormat="1" applyFont="1" applyFill="1" applyBorder="1" applyAlignment="1" applyProtection="1">
      <alignment horizontal="right"/>
      <protection locked="0"/>
    </xf>
    <xf numFmtId="4" fontId="31" fillId="4" borderId="7" xfId="10" applyNumberFormat="1" applyFont="1" applyFill="1" applyBorder="1" applyAlignment="1" applyProtection="1">
      <alignment horizontal="right"/>
      <protection locked="0"/>
    </xf>
    <xf numFmtId="0" fontId="5" fillId="0" borderId="16" xfId="1" applyNumberFormat="1" applyFont="1" applyFill="1" applyBorder="1" applyAlignment="1" applyProtection="1">
      <alignment horizontal="center" vertical="center"/>
      <protection locked="0"/>
    </xf>
    <xf numFmtId="4" fontId="22" fillId="6" borderId="17" xfId="1" applyNumberFormat="1" applyFont="1" applyFill="1" applyBorder="1" applyAlignment="1" applyProtection="1">
      <alignment horizontal="right"/>
      <protection locked="0"/>
    </xf>
    <xf numFmtId="4" fontId="20" fillId="0" borderId="12" xfId="9" applyNumberFormat="1" applyFont="1" applyFill="1" applyBorder="1" applyAlignment="1" applyProtection="1">
      <alignment horizontal="right"/>
      <protection locked="0"/>
    </xf>
    <xf numFmtId="0" fontId="21" fillId="0" borderId="12" xfId="0" applyFont="1" applyBorder="1" applyAlignment="1" applyProtection="1">
      <alignment horizontal="left" vertical="top" wrapText="1" indent="1"/>
      <protection locked="0"/>
    </xf>
    <xf numFmtId="49" fontId="19" fillId="0" borderId="12" xfId="9" applyNumberFormat="1" applyFont="1" applyFill="1" applyBorder="1" applyAlignment="1" applyProtection="1">
      <alignment horizontal="center" vertical="center"/>
      <protection locked="0"/>
    </xf>
    <xf numFmtId="0" fontId="21" fillId="0" borderId="12" xfId="0" applyFont="1" applyBorder="1" applyAlignment="1" applyProtection="1">
      <alignment horizontal="left" vertical="center" wrapText="1"/>
      <protection locked="0"/>
    </xf>
    <xf numFmtId="165" fontId="21" fillId="0" borderId="12" xfId="9" applyNumberFormat="1" applyFont="1" applyFill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left" vertical="center" wrapText="1"/>
      <protection locked="0"/>
    </xf>
    <xf numFmtId="165" fontId="21" fillId="0" borderId="14" xfId="9" applyNumberFormat="1" applyFont="1" applyFill="1" applyBorder="1" applyAlignment="1" applyProtection="1">
      <alignment horizontal="center" vertical="center"/>
      <protection locked="0"/>
    </xf>
    <xf numFmtId="0" fontId="20" fillId="0" borderId="11" xfId="4" applyFont="1" applyBorder="1" applyAlignment="1" applyProtection="1">
      <alignment vertical="distributed" wrapText="1"/>
      <protection locked="0"/>
    </xf>
    <xf numFmtId="0" fontId="20" fillId="0" borderId="14" xfId="4" applyFont="1" applyBorder="1" applyAlignment="1" applyProtection="1">
      <alignment vertical="distributed" wrapText="1"/>
      <protection locked="0"/>
    </xf>
    <xf numFmtId="165" fontId="21" fillId="5" borderId="14" xfId="9" applyNumberFormat="1" applyFont="1" applyFill="1" applyBorder="1" applyAlignment="1" applyProtection="1">
      <alignment horizontal="center"/>
      <protection locked="0"/>
    </xf>
    <xf numFmtId="4" fontId="20" fillId="0" borderId="14" xfId="9" applyNumberFormat="1" applyFont="1" applyFill="1" applyBorder="1" applyAlignment="1" applyProtection="1">
      <alignment horizontal="right"/>
      <protection locked="0"/>
    </xf>
    <xf numFmtId="0" fontId="20" fillId="0" borderId="12" xfId="4" applyFont="1" applyBorder="1" applyAlignment="1" applyProtection="1">
      <alignment vertical="distributed" wrapText="1"/>
      <protection locked="0"/>
    </xf>
    <xf numFmtId="0" fontId="21" fillId="0" borderId="14" xfId="4" applyFont="1" applyBorder="1" applyAlignment="1" applyProtection="1">
      <alignment vertical="distributed" wrapText="1"/>
      <protection locked="0"/>
    </xf>
    <xf numFmtId="4" fontId="21" fillId="5" borderId="14" xfId="9" applyNumberFormat="1" applyFont="1" applyFill="1" applyBorder="1" applyAlignment="1" applyProtection="1">
      <alignment horizontal="right"/>
      <protection locked="0"/>
    </xf>
    <xf numFmtId="0" fontId="29" fillId="0" borderId="14" xfId="11" applyNumberFormat="1" applyFont="1" applyFill="1" applyBorder="1" applyAlignment="1" applyProtection="1">
      <alignment horizontal="center" vertical="center" wrapText="1"/>
      <protection locked="0"/>
    </xf>
    <xf numFmtId="0" fontId="22" fillId="0" borderId="12" xfId="12" applyFont="1" applyBorder="1" applyAlignment="1" applyProtection="1">
      <alignment vertical="distributed"/>
      <protection locked="0"/>
    </xf>
    <xf numFmtId="4" fontId="22" fillId="0" borderId="12" xfId="11" applyNumberFormat="1" applyFont="1" applyFill="1" applyBorder="1" applyAlignment="1" applyProtection="1">
      <alignment horizontal="right"/>
      <protection locked="0"/>
    </xf>
    <xf numFmtId="0" fontId="29" fillId="7" borderId="14" xfId="11" applyNumberFormat="1" applyFont="1" applyFill="1" applyBorder="1" applyAlignment="1" applyProtection="1">
      <alignment horizontal="center" vertical="center" wrapText="1"/>
      <protection locked="0"/>
    </xf>
    <xf numFmtId="0" fontId="22" fillId="7" borderId="12" xfId="12" applyFont="1" applyFill="1" applyBorder="1" applyAlignment="1" applyProtection="1">
      <alignment vertical="distributed"/>
      <protection locked="0"/>
    </xf>
    <xf numFmtId="167" fontId="22" fillId="7" borderId="12" xfId="11" applyFont="1" applyFill="1" applyBorder="1" applyAlignment="1" applyProtection="1">
      <alignment horizontal="center"/>
      <protection locked="0"/>
    </xf>
    <xf numFmtId="0" fontId="29" fillId="7" borderId="12" xfId="11" applyNumberFormat="1" applyFont="1" applyFill="1" applyBorder="1" applyAlignment="1" applyProtection="1">
      <alignment horizontal="center" vertical="center" wrapText="1"/>
      <protection locked="0"/>
    </xf>
    <xf numFmtId="0" fontId="27" fillId="5" borderId="14" xfId="9" applyNumberFormat="1" applyFont="1" applyFill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vertical="distributed" wrapText="1"/>
      <protection locked="0"/>
    </xf>
    <xf numFmtId="165" fontId="21" fillId="0" borderId="14" xfId="9" applyNumberFormat="1" applyFont="1" applyFill="1" applyBorder="1" applyAlignment="1" applyProtection="1">
      <alignment horizontal="center"/>
      <protection locked="0"/>
    </xf>
    <xf numFmtId="4" fontId="22" fillId="0" borderId="17" xfId="1" applyNumberFormat="1" applyFont="1" applyFill="1" applyBorder="1" applyAlignment="1" applyProtection="1">
      <alignment horizontal="right"/>
      <protection locked="0"/>
    </xf>
    <xf numFmtId="0" fontId="27" fillId="0" borderId="14" xfId="9" applyNumberFormat="1" applyFont="1" applyFill="1" applyBorder="1" applyAlignment="1" applyProtection="1">
      <alignment horizontal="center" vertical="center"/>
      <protection locked="0"/>
    </xf>
    <xf numFmtId="0" fontId="21" fillId="5" borderId="12" xfId="4" applyFont="1" applyFill="1" applyBorder="1" applyAlignment="1" applyProtection="1">
      <alignment vertical="distributed" wrapText="1"/>
      <protection locked="0"/>
    </xf>
    <xf numFmtId="0" fontId="21" fillId="5" borderId="14" xfId="4" applyFont="1" applyFill="1" applyBorder="1" applyAlignment="1" applyProtection="1">
      <alignment vertical="distributed" wrapText="1"/>
      <protection locked="0"/>
    </xf>
    <xf numFmtId="4" fontId="22" fillId="0" borderId="18" xfId="1" applyNumberFormat="1" applyFont="1" applyFill="1" applyBorder="1" applyAlignment="1" applyProtection="1">
      <alignment horizontal="right"/>
      <protection locked="0"/>
    </xf>
    <xf numFmtId="0" fontId="27" fillId="0" borderId="12" xfId="9" applyNumberFormat="1" applyFont="1" applyFill="1" applyBorder="1" applyAlignment="1" applyProtection="1">
      <alignment horizontal="center" vertical="center" wrapText="1"/>
      <protection locked="0"/>
    </xf>
    <xf numFmtId="0" fontId="21" fillId="5" borderId="12" xfId="4" applyFont="1" applyFill="1" applyBorder="1" applyAlignment="1" applyProtection="1">
      <alignment wrapText="1"/>
      <protection locked="0"/>
    </xf>
    <xf numFmtId="164" fontId="14" fillId="0" borderId="0" xfId="3" applyFont="1" applyAlignment="1">
      <alignment vertical="center"/>
    </xf>
    <xf numFmtId="0" fontId="32" fillId="0" borderId="0" xfId="4" applyFont="1" applyAlignment="1">
      <alignment vertical="center"/>
    </xf>
    <xf numFmtId="165" fontId="21" fillId="0" borderId="19" xfId="9" applyNumberFormat="1" applyFont="1" applyFill="1" applyBorder="1" applyAlignment="1" applyProtection="1">
      <alignment horizontal="center"/>
      <protection locked="0"/>
    </xf>
    <xf numFmtId="0" fontId="15" fillId="3" borderId="7" xfId="1" applyNumberFormat="1" applyFont="1" applyFill="1" applyBorder="1" applyAlignment="1" applyProtection="1">
      <alignment horizontal="center" vertical="center"/>
      <protection locked="0"/>
    </xf>
    <xf numFmtId="0" fontId="25" fillId="3" borderId="7" xfId="4" applyFont="1" applyFill="1" applyBorder="1" applyAlignment="1" applyProtection="1">
      <alignment vertical="distributed" wrapText="1"/>
      <protection locked="0"/>
    </xf>
    <xf numFmtId="4" fontId="33" fillId="3" borderId="7" xfId="10" applyNumberFormat="1" applyFont="1" applyFill="1" applyBorder="1" applyAlignment="1" applyProtection="1">
      <alignment horizontal="right"/>
      <protection locked="0"/>
    </xf>
    <xf numFmtId="0" fontId="27" fillId="7" borderId="12" xfId="1" applyNumberFormat="1" applyFont="1" applyFill="1" applyBorder="1" applyAlignment="1" applyProtection="1">
      <alignment horizontal="center" vertical="center"/>
      <protection locked="0"/>
    </xf>
    <xf numFmtId="0" fontId="22" fillId="0" borderId="12" xfId="4" applyFont="1" applyBorder="1" applyAlignment="1" applyProtection="1">
      <alignment vertical="distributed" wrapText="1"/>
      <protection locked="0"/>
    </xf>
    <xf numFmtId="165" fontId="22" fillId="6" borderId="12" xfId="1" applyFont="1" applyFill="1" applyBorder="1" applyAlignment="1" applyProtection="1">
      <alignment horizontal="center"/>
      <protection locked="0"/>
    </xf>
    <xf numFmtId="4" fontId="22" fillId="0" borderId="12" xfId="1" applyNumberFormat="1" applyFont="1" applyFill="1" applyBorder="1" applyAlignment="1" applyProtection="1">
      <alignment horizontal="right"/>
      <protection locked="0"/>
    </xf>
    <xf numFmtId="165" fontId="22" fillId="0" borderId="12" xfId="1" applyFont="1" applyFill="1" applyBorder="1" applyAlignment="1" applyProtection="1">
      <alignment horizontal="center"/>
      <protection locked="0"/>
    </xf>
    <xf numFmtId="4" fontId="22" fillId="0" borderId="14" xfId="1" applyNumberFormat="1" applyFont="1" applyFill="1" applyBorder="1" applyAlignment="1" applyProtection="1">
      <alignment horizontal="right"/>
      <protection locked="0"/>
    </xf>
    <xf numFmtId="0" fontId="27" fillId="0" borderId="12" xfId="1" applyNumberFormat="1" applyFont="1" applyFill="1" applyBorder="1" applyAlignment="1" applyProtection="1">
      <alignment horizontal="center" vertical="center"/>
      <protection locked="0"/>
    </xf>
    <xf numFmtId="0" fontId="29" fillId="7" borderId="12" xfId="1" applyNumberFormat="1" applyFont="1" applyFill="1" applyBorder="1" applyAlignment="1" applyProtection="1">
      <alignment horizontal="center" vertical="center"/>
      <protection locked="0"/>
    </xf>
    <xf numFmtId="0" fontId="22" fillId="7" borderId="12" xfId="4" applyFont="1" applyFill="1" applyBorder="1" applyAlignment="1" applyProtection="1">
      <alignment vertical="distributed" wrapText="1"/>
      <protection locked="0"/>
    </xf>
    <xf numFmtId="4" fontId="20" fillId="0" borderId="12" xfId="1" applyNumberFormat="1" applyFont="1" applyFill="1" applyBorder="1" applyAlignment="1" applyProtection="1">
      <alignment horizontal="right"/>
      <protection locked="0"/>
    </xf>
    <xf numFmtId="0" fontId="22" fillId="0" borderId="14" xfId="4" applyFont="1" applyBorder="1" applyAlignment="1" applyProtection="1">
      <alignment vertical="distributed" wrapText="1"/>
      <protection locked="0"/>
    </xf>
    <xf numFmtId="4" fontId="20" fillId="0" borderId="11" xfId="1" applyNumberFormat="1" applyFont="1" applyFill="1" applyBorder="1" applyAlignment="1" applyProtection="1">
      <alignment horizontal="right"/>
      <protection locked="0"/>
    </xf>
    <xf numFmtId="0" fontId="21" fillId="0" borderId="12" xfId="4" applyFont="1" applyBorder="1" applyAlignment="1" applyProtection="1">
      <alignment horizontal="justify" vertical="center" wrapText="1"/>
      <protection locked="0"/>
    </xf>
    <xf numFmtId="0" fontId="5" fillId="0" borderId="20" xfId="1" applyNumberFormat="1" applyFont="1" applyFill="1" applyBorder="1" applyAlignment="1" applyProtection="1">
      <alignment horizontal="center" vertical="center"/>
      <protection locked="0"/>
    </xf>
    <xf numFmtId="4" fontId="22" fillId="0" borderId="0" xfId="1" applyNumberFormat="1" applyFont="1" applyFill="1" applyBorder="1" applyAlignment="1">
      <alignment horizontal="right"/>
    </xf>
    <xf numFmtId="0" fontId="5" fillId="0" borderId="21" xfId="1" applyNumberFormat="1" applyFont="1" applyFill="1" applyBorder="1" applyAlignment="1" applyProtection="1">
      <alignment horizontal="center" vertical="center"/>
      <protection locked="0"/>
    </xf>
    <xf numFmtId="164" fontId="25" fillId="4" borderId="8" xfId="3" applyFont="1" applyFill="1" applyBorder="1" applyAlignment="1" applyProtection="1">
      <alignment horizontal="right"/>
      <protection locked="0"/>
    </xf>
    <xf numFmtId="165" fontId="26" fillId="0" borderId="0" xfId="4" applyNumberFormat="1" applyFont="1" applyAlignment="1">
      <alignment horizontal="right" vertical="center"/>
    </xf>
    <xf numFmtId="0" fontId="26" fillId="0" borderId="0" xfId="4" applyFont="1" applyAlignment="1">
      <alignment horizontal="right" vertical="center"/>
    </xf>
    <xf numFmtId="0" fontId="27" fillId="0" borderId="11" xfId="9" applyNumberFormat="1" applyFont="1" applyFill="1" applyBorder="1" applyAlignment="1" applyProtection="1">
      <alignment horizontal="center" vertical="center"/>
      <protection locked="0"/>
    </xf>
    <xf numFmtId="0" fontId="21" fillId="0" borderId="19" xfId="4" applyFont="1" applyBorder="1" applyAlignment="1" applyProtection="1">
      <alignment vertical="distributed" wrapText="1"/>
      <protection locked="0"/>
    </xf>
    <xf numFmtId="4" fontId="21" fillId="0" borderId="19" xfId="9" applyNumberFormat="1" applyFont="1" applyFill="1" applyBorder="1" applyAlignment="1" applyProtection="1">
      <alignment horizontal="right"/>
      <protection locked="0"/>
    </xf>
    <xf numFmtId="4" fontId="20" fillId="0" borderId="11" xfId="9" applyNumberFormat="1" applyFont="1" applyFill="1" applyBorder="1" applyAlignment="1" applyProtection="1">
      <alignment horizontal="right"/>
      <protection locked="0"/>
    </xf>
    <xf numFmtId="4" fontId="21" fillId="0" borderId="17" xfId="9" applyNumberFormat="1" applyFont="1" applyFill="1" applyBorder="1" applyAlignment="1" applyProtection="1">
      <alignment horizontal="right"/>
      <protection locked="0"/>
    </xf>
    <xf numFmtId="0" fontId="19" fillId="0" borderId="11" xfId="9" applyNumberFormat="1" applyFont="1" applyFill="1" applyBorder="1" applyAlignment="1" applyProtection="1">
      <alignment horizontal="center" vertical="center" wrapText="1"/>
      <protection locked="0"/>
    </xf>
    <xf numFmtId="0" fontId="19" fillId="0" borderId="12" xfId="9" applyNumberFormat="1" applyFont="1" applyFill="1" applyBorder="1" applyAlignment="1" applyProtection="1">
      <alignment horizontal="center" vertical="center" wrapText="1"/>
      <protection locked="0"/>
    </xf>
    <xf numFmtId="0" fontId="15" fillId="3" borderId="22" xfId="1" applyNumberFormat="1" applyFont="1" applyFill="1" applyBorder="1" applyAlignment="1" applyProtection="1">
      <alignment horizontal="center" vertical="center"/>
      <protection locked="0"/>
    </xf>
    <xf numFmtId="0" fontId="21" fillId="0" borderId="12" xfId="13" applyFont="1" applyBorder="1" applyAlignment="1" applyProtection="1">
      <alignment vertical="distributed"/>
      <protection locked="0"/>
    </xf>
    <xf numFmtId="165" fontId="14" fillId="0" borderId="0" xfId="4" applyNumberFormat="1" applyFont="1" applyAlignment="1">
      <alignment vertical="center"/>
    </xf>
    <xf numFmtId="0" fontId="21" fillId="0" borderId="11" xfId="4" applyFont="1" applyBorder="1" applyAlignment="1" applyProtection="1">
      <alignment vertical="distributed" wrapText="1"/>
      <protection locked="0"/>
    </xf>
    <xf numFmtId="4" fontId="20" fillId="0" borderId="12" xfId="9" applyNumberFormat="1" applyFont="1" applyFill="1" applyBorder="1" applyAlignment="1" applyProtection="1">
      <alignment horizontal="right" wrapText="1"/>
      <protection locked="0"/>
    </xf>
    <xf numFmtId="0" fontId="25" fillId="3" borderId="22" xfId="4" applyFont="1" applyFill="1" applyBorder="1" applyAlignment="1" applyProtection="1">
      <alignment vertical="distributed"/>
      <protection locked="0"/>
    </xf>
    <xf numFmtId="0" fontId="25" fillId="3" borderId="23" xfId="4" applyFont="1" applyFill="1" applyBorder="1" applyAlignment="1" applyProtection="1">
      <alignment vertical="distributed"/>
      <protection locked="0"/>
    </xf>
    <xf numFmtId="165" fontId="15" fillId="3" borderId="23" xfId="1" applyFont="1" applyFill="1" applyBorder="1" applyAlignment="1" applyProtection="1">
      <alignment horizontal="center"/>
      <protection locked="0"/>
    </xf>
    <xf numFmtId="4" fontId="15" fillId="3" borderId="23" xfId="1" applyNumberFormat="1" applyFont="1" applyFill="1" applyBorder="1" applyAlignment="1" applyProtection="1">
      <alignment horizontal="right"/>
      <protection locked="0"/>
    </xf>
    <xf numFmtId="165" fontId="9" fillId="3" borderId="23" xfId="1" applyFont="1" applyFill="1" applyBorder="1" applyAlignment="1" applyProtection="1">
      <alignment horizontal="right"/>
      <protection locked="0"/>
    </xf>
    <xf numFmtId="164" fontId="14" fillId="0" borderId="0" xfId="4" applyNumberFormat="1" applyFont="1" applyAlignment="1">
      <alignment vertical="center"/>
    </xf>
    <xf numFmtId="43" fontId="14" fillId="0" borderId="0" xfId="4" applyNumberFormat="1" applyFont="1" applyAlignment="1">
      <alignment vertical="center"/>
    </xf>
    <xf numFmtId="0" fontId="34" fillId="6" borderId="19" xfId="1" applyNumberFormat="1" applyFont="1" applyFill="1" applyBorder="1" applyAlignment="1" applyProtection="1">
      <alignment horizontal="right" vertical="center"/>
      <protection locked="0"/>
    </xf>
    <xf numFmtId="0" fontId="34" fillId="0" borderId="19" xfId="1" applyNumberFormat="1" applyFont="1" applyBorder="1" applyAlignment="1" applyProtection="1">
      <alignment vertical="distributed"/>
      <protection locked="0"/>
    </xf>
    <xf numFmtId="0" fontId="34" fillId="0" borderId="19" xfId="1" applyNumberFormat="1" applyFont="1" applyBorder="1" applyAlignment="1" applyProtection="1">
      <alignment horizontal="center"/>
      <protection locked="0"/>
    </xf>
    <xf numFmtId="0" fontId="9" fillId="0" borderId="19" xfId="1" applyNumberFormat="1" applyFont="1" applyBorder="1" applyAlignment="1" applyProtection="1">
      <alignment horizontal="center"/>
      <protection locked="0"/>
    </xf>
    <xf numFmtId="10" fontId="9" fillId="0" borderId="19" xfId="2" applyNumberFormat="1" applyFont="1" applyBorder="1" applyAlignment="1" applyProtection="1">
      <alignment horizontal="center"/>
      <protection locked="0"/>
    </xf>
    <xf numFmtId="164" fontId="25" fillId="0" borderId="24" xfId="3" applyFont="1" applyBorder="1" applyAlignment="1" applyProtection="1">
      <protection locked="0"/>
    </xf>
    <xf numFmtId="0" fontId="35" fillId="3" borderId="23" xfId="1" applyNumberFormat="1" applyFont="1" applyFill="1" applyBorder="1" applyAlignment="1" applyProtection="1">
      <alignment horizontal="right" vertical="center"/>
      <protection locked="0"/>
    </xf>
    <xf numFmtId="0" fontId="35" fillId="3" borderId="23" xfId="1" applyNumberFormat="1" applyFont="1" applyFill="1" applyBorder="1" applyAlignment="1" applyProtection="1">
      <alignment vertical="distributed"/>
      <protection locked="0"/>
    </xf>
    <xf numFmtId="0" fontId="35" fillId="3" borderId="23" xfId="1" applyNumberFormat="1" applyFont="1" applyFill="1" applyBorder="1" applyAlignment="1" applyProtection="1">
      <alignment horizontal="center"/>
      <protection locked="0"/>
    </xf>
    <xf numFmtId="0" fontId="9" fillId="3" borderId="23" xfId="1" applyNumberFormat="1" applyFont="1" applyFill="1" applyBorder="1" applyAlignment="1" applyProtection="1">
      <alignment horizontal="center"/>
      <protection locked="0"/>
    </xf>
    <xf numFmtId="164" fontId="36" fillId="3" borderId="25" xfId="3" applyFont="1" applyFill="1" applyBorder="1" applyAlignment="1" applyProtection="1">
      <protection locked="0"/>
    </xf>
    <xf numFmtId="0" fontId="34" fillId="0" borderId="22" xfId="1" applyNumberFormat="1" applyFont="1" applyBorder="1" applyAlignment="1" applyProtection="1">
      <alignment horizontal="right" vertical="center"/>
      <protection locked="0"/>
    </xf>
    <xf numFmtId="0" fontId="14" fillId="0" borderId="23" xfId="1" applyNumberFormat="1" applyFont="1" applyBorder="1" applyAlignment="1" applyProtection="1">
      <alignment horizontal="center" vertical="center"/>
      <protection locked="0"/>
    </xf>
    <xf numFmtId="0" fontId="12" fillId="0" borderId="23" xfId="4" applyFont="1" applyBorder="1" applyAlignment="1" applyProtection="1">
      <alignment vertical="distributed" wrapText="1"/>
      <protection locked="0"/>
    </xf>
    <xf numFmtId="165" fontId="37" fillId="0" borderId="23" xfId="1" applyFont="1" applyBorder="1" applyAlignment="1" applyProtection="1">
      <alignment horizontal="center"/>
      <protection locked="0"/>
    </xf>
    <xf numFmtId="4" fontId="37" fillId="0" borderId="23" xfId="1" applyNumberFormat="1" applyFont="1" applyBorder="1" applyAlignment="1" applyProtection="1">
      <alignment horizontal="center"/>
      <protection locked="0"/>
    </xf>
    <xf numFmtId="165" fontId="37" fillId="0" borderId="23" xfId="1" applyFont="1" applyBorder="1" applyAlignment="1" applyProtection="1">
      <protection locked="0"/>
    </xf>
    <xf numFmtId="165" fontId="37" fillId="0" borderId="25" xfId="1" applyFont="1" applyBorder="1" applyAlignment="1" applyProtection="1">
      <protection locked="0"/>
    </xf>
    <xf numFmtId="0" fontId="30" fillId="4" borderId="6" xfId="9" applyNumberFormat="1" applyFont="1" applyFill="1" applyBorder="1" applyAlignment="1" applyProtection="1">
      <alignment horizontal="center" vertical="center"/>
      <protection locked="0"/>
    </xf>
    <xf numFmtId="0" fontId="16" fillId="4" borderId="7" xfId="9" applyNumberFormat="1" applyFont="1" applyFill="1" applyBorder="1" applyAlignment="1" applyProtection="1">
      <alignment horizontal="center" vertical="center"/>
      <protection locked="0"/>
    </xf>
    <xf numFmtId="0" fontId="38" fillId="0" borderId="9" xfId="9" applyNumberFormat="1" applyFont="1" applyFill="1" applyBorder="1" applyAlignment="1" applyProtection="1">
      <alignment horizontal="center" vertical="center"/>
      <protection locked="0"/>
    </xf>
    <xf numFmtId="0" fontId="21" fillId="0" borderId="11" xfId="4" applyFont="1" applyBorder="1" applyAlignment="1" applyProtection="1">
      <alignment vertical="distributed"/>
      <protection locked="0"/>
    </xf>
    <xf numFmtId="4" fontId="21" fillId="5" borderId="13" xfId="9" applyNumberFormat="1" applyFont="1" applyFill="1" applyBorder="1" applyAlignment="1" applyProtection="1">
      <alignment horizontal="right"/>
      <protection locked="0"/>
    </xf>
    <xf numFmtId="4" fontId="21" fillId="0" borderId="13" xfId="9" applyNumberFormat="1" applyFont="1" applyFill="1" applyBorder="1" applyAlignment="1" applyProtection="1">
      <alignment horizontal="right"/>
      <protection locked="0"/>
    </xf>
    <xf numFmtId="0" fontId="21" fillId="0" borderId="12" xfId="4" applyFont="1" applyBorder="1" applyAlignment="1" applyProtection="1">
      <alignment vertical="distributed"/>
      <protection locked="0"/>
    </xf>
    <xf numFmtId="0" fontId="19" fillId="0" borderId="10" xfId="9" applyNumberFormat="1" applyFont="1" applyFill="1" applyBorder="1" applyAlignment="1" applyProtection="1">
      <alignment horizontal="center" vertical="center"/>
      <protection locked="0"/>
    </xf>
    <xf numFmtId="0" fontId="21" fillId="0" borderId="14" xfId="4" applyFont="1" applyBorder="1" applyAlignment="1" applyProtection="1">
      <alignment vertical="distributed"/>
      <protection locked="0"/>
    </xf>
    <xf numFmtId="0" fontId="25" fillId="4" borderId="22" xfId="4" applyFont="1" applyFill="1" applyBorder="1" applyAlignment="1" applyProtection="1">
      <alignment vertical="distributed"/>
      <protection locked="0"/>
    </xf>
    <xf numFmtId="0" fontId="25" fillId="4" borderId="23" xfId="4" applyFont="1" applyFill="1" applyBorder="1" applyAlignment="1" applyProtection="1">
      <alignment vertical="distributed"/>
      <protection locked="0"/>
    </xf>
    <xf numFmtId="165" fontId="30" fillId="4" borderId="23" xfId="9" applyNumberFormat="1" applyFont="1" applyFill="1" applyBorder="1" applyAlignment="1" applyProtection="1">
      <alignment horizontal="center"/>
      <protection locked="0"/>
    </xf>
    <xf numFmtId="4" fontId="30" fillId="4" borderId="23" xfId="9" applyNumberFormat="1" applyFont="1" applyFill="1" applyBorder="1" applyAlignment="1" applyProtection="1">
      <alignment horizontal="right"/>
      <protection locked="0"/>
    </xf>
    <xf numFmtId="164" fontId="25" fillId="4" borderId="8" xfId="3" applyFont="1" applyFill="1" applyBorder="1" applyAlignment="1" applyProtection="1">
      <alignment horizontal="center" vertical="center"/>
      <protection locked="0"/>
    </xf>
    <xf numFmtId="0" fontId="34" fillId="5" borderId="19" xfId="9" applyNumberFormat="1" applyFont="1" applyFill="1" applyBorder="1" applyAlignment="1" applyProtection="1">
      <alignment horizontal="right" vertical="center"/>
      <protection locked="0"/>
    </xf>
    <xf numFmtId="0" fontId="34" fillId="0" borderId="19" xfId="9" applyNumberFormat="1" applyFont="1" applyFill="1" applyBorder="1" applyAlignment="1" applyProtection="1">
      <alignment vertical="distributed"/>
      <protection locked="0"/>
    </xf>
    <xf numFmtId="0" fontId="34" fillId="0" borderId="19" xfId="9" applyNumberFormat="1" applyFont="1" applyFill="1" applyBorder="1" applyAlignment="1" applyProtection="1">
      <alignment horizontal="center"/>
      <protection locked="0"/>
    </xf>
    <xf numFmtId="0" fontId="9" fillId="0" borderId="19" xfId="9" applyNumberFormat="1" applyFont="1" applyFill="1" applyBorder="1" applyAlignment="1" applyProtection="1">
      <alignment horizontal="center"/>
      <protection locked="0"/>
    </xf>
    <xf numFmtId="10" fontId="9" fillId="0" borderId="19" xfId="2" applyNumberFormat="1" applyFont="1" applyFill="1" applyBorder="1" applyAlignment="1" applyProtection="1">
      <alignment horizontal="center"/>
      <protection locked="0"/>
    </xf>
    <xf numFmtId="164" fontId="25" fillId="0" borderId="24" xfId="3" applyFont="1" applyFill="1" applyBorder="1" applyAlignment="1" applyProtection="1">
      <protection locked="0"/>
    </xf>
    <xf numFmtId="0" fontId="30" fillId="4" borderId="22" xfId="9" applyNumberFormat="1" applyFont="1" applyFill="1" applyBorder="1" applyAlignment="1" applyProtection="1">
      <alignment horizontal="center" vertical="center"/>
      <protection locked="0"/>
    </xf>
    <xf numFmtId="0" fontId="35" fillId="4" borderId="23" xfId="9" applyNumberFormat="1" applyFont="1" applyFill="1" applyBorder="1" applyAlignment="1" applyProtection="1">
      <alignment horizontal="right" vertical="center"/>
      <protection locked="0"/>
    </xf>
    <xf numFmtId="0" fontId="35" fillId="4" borderId="23" xfId="9" applyNumberFormat="1" applyFont="1" applyFill="1" applyBorder="1" applyAlignment="1" applyProtection="1">
      <alignment vertical="distributed"/>
      <protection locked="0"/>
    </xf>
    <xf numFmtId="0" fontId="35" fillId="4" borderId="23" xfId="9" applyNumberFormat="1" applyFont="1" applyFill="1" applyBorder="1" applyAlignment="1" applyProtection="1">
      <alignment horizontal="center"/>
      <protection locked="0"/>
    </xf>
    <xf numFmtId="0" fontId="9" fillId="4" borderId="23" xfId="9" applyNumberFormat="1" applyFont="1" applyFill="1" applyBorder="1" applyAlignment="1" applyProtection="1">
      <alignment horizontal="center"/>
      <protection locked="0"/>
    </xf>
    <xf numFmtId="165" fontId="9" fillId="4" borderId="23" xfId="9" applyNumberFormat="1" applyFont="1" applyFill="1" applyBorder="1" applyAlignment="1" applyProtection="1">
      <alignment horizontal="right"/>
      <protection locked="0"/>
    </xf>
    <xf numFmtId="164" fontId="36" fillId="4" borderId="25" xfId="3" applyFont="1" applyFill="1" applyBorder="1" applyAlignment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5" xfId="0" applyBorder="1" applyProtection="1">
      <protection locked="0"/>
    </xf>
    <xf numFmtId="43" fontId="8" fillId="0" borderId="0" xfId="4" applyNumberFormat="1" applyFont="1" applyAlignment="1">
      <alignment vertical="center"/>
    </xf>
    <xf numFmtId="0" fontId="8" fillId="0" borderId="0" xfId="1" applyNumberFormat="1" applyFont="1" applyAlignment="1" applyProtection="1">
      <alignment horizontal="center" vertical="center"/>
      <protection locked="0"/>
    </xf>
    <xf numFmtId="0" fontId="8" fillId="0" borderId="0" xfId="4" applyFont="1" applyAlignment="1" applyProtection="1">
      <alignment vertical="distributed" wrapText="1"/>
      <protection locked="0"/>
    </xf>
    <xf numFmtId="165" fontId="8" fillId="0" borderId="0" xfId="1" applyFont="1" applyAlignment="1" applyProtection="1">
      <alignment horizontal="center"/>
      <protection locked="0"/>
    </xf>
    <xf numFmtId="4" fontId="8" fillId="0" borderId="0" xfId="1" applyNumberFormat="1" applyFont="1" applyAlignment="1" applyProtection="1">
      <alignment horizontal="center"/>
      <protection locked="0"/>
    </xf>
    <xf numFmtId="165" fontId="8" fillId="0" borderId="0" xfId="1" applyFont="1" applyAlignment="1" applyProtection="1">
      <protection locked="0"/>
    </xf>
    <xf numFmtId="0" fontId="6" fillId="0" borderId="0" xfId="1" applyNumberFormat="1" applyFont="1" applyAlignment="1" applyProtection="1">
      <alignment horizontal="center" vertical="center"/>
      <protection locked="0"/>
    </xf>
    <xf numFmtId="0" fontId="4" fillId="0" borderId="0" xfId="14" applyFont="1" applyAlignment="1" applyProtection="1">
      <alignment vertical="distributed" wrapText="1"/>
      <protection locked="0"/>
    </xf>
    <xf numFmtId="4" fontId="5" fillId="0" borderId="0" xfId="1" applyNumberFormat="1" applyFont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4" fontId="8" fillId="0" borderId="0" xfId="1" applyNumberFormat="1" applyFont="1" applyAlignment="1" applyProtection="1">
      <alignment horizontal="center"/>
      <protection locked="0"/>
    </xf>
    <xf numFmtId="0" fontId="8" fillId="0" borderId="0" xfId="1" applyNumberFormat="1" applyFont="1" applyAlignment="1">
      <alignment horizontal="center" vertical="center"/>
    </xf>
    <xf numFmtId="0" fontId="8" fillId="0" borderId="0" xfId="4" applyFont="1" applyAlignment="1">
      <alignment vertical="distributed" wrapText="1"/>
    </xf>
    <xf numFmtId="165" fontId="8" fillId="0" borderId="0" xfId="1" applyFont="1" applyAlignment="1">
      <alignment horizontal="center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4" fontId="8" fillId="0" borderId="0" xfId="1" applyNumberFormat="1" applyFont="1" applyAlignment="1">
      <alignment horizontal="center"/>
    </xf>
    <xf numFmtId="165" fontId="8" fillId="0" borderId="0" xfId="1" applyFont="1" applyAlignment="1"/>
  </cellXfs>
  <cellStyles count="15">
    <cellStyle name="Moeda 2 2" xfId="3" xr:uid="{76D18DF4-4402-4A1E-B38D-BBABB072AB3D}"/>
    <cellStyle name="Normal" xfId="0" builtinId="0"/>
    <cellStyle name="Normal 2 2" xfId="4" xr:uid="{C8CE3D10-0BB8-48C1-8235-24D129104AA2}"/>
    <cellStyle name="Normal 2 2 2" xfId="12" xr:uid="{3A45C33C-C2BD-4918-BF17-41E1D936C31B}"/>
    <cellStyle name="Normal 2 2 3" xfId="14" xr:uid="{97B9E20A-A748-4E09-A395-F671DD5043BF}"/>
    <cellStyle name="Normal 4 11" xfId="7" xr:uid="{CD79E2ED-BE17-473D-8853-81D42CF79F5C}"/>
    <cellStyle name="Normal 4 2" xfId="6" xr:uid="{6505F74C-42E6-4BEE-A0A2-908FA4C4AFDD}"/>
    <cellStyle name="Normal 4 3" xfId="5" xr:uid="{673D0EB6-904D-4757-9CED-5FF31357AD15}"/>
    <cellStyle name="Normal 5" xfId="13" xr:uid="{487918BD-16CF-44A0-B3DC-F4FB24F5095B}"/>
    <cellStyle name="Porcentagem" xfId="2" builtinId="5"/>
    <cellStyle name="Separador de milhares 2 2" xfId="10" xr:uid="{1FEFF974-14C6-4CC2-9ABB-A9ECA9D3354C}"/>
    <cellStyle name="Separador de milhares 3 2" xfId="8" xr:uid="{380BEB81-EFFD-40ED-8064-0129AEBB8EDC}"/>
    <cellStyle name="Vírgula" xfId="1" builtinId="3"/>
    <cellStyle name="Vírgula 2" xfId="11" xr:uid="{CDEE3124-BFFB-4FB6-943B-EFE12FB9CCC3}"/>
    <cellStyle name="Vírgula 7 2" xfId="9" xr:uid="{9506F48A-9982-4F9A-AA5C-63DF700591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466725</xdr:colOff>
          <xdr:row>7</xdr:row>
          <xdr:rowOff>0</xdr:rowOff>
        </xdr:from>
        <xdr:to>
          <xdr:col>7</xdr:col>
          <xdr:colOff>0</xdr:colOff>
          <xdr:row>7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B676C85-A17B-41BC-AC6C-AD7508CCD2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_Modelo%20de%20apresentacao%20de%20proposta_Peq.%20Reforma_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ituba\apaf$\Documents%20and%20Settings\Administrador\Desktop\ORCAMENTOS\COTA&#199;AO%20SON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(2)"/>
      <sheetName val="SERVIÇOS"/>
      <sheetName val="COMPOSIÇÕES"/>
      <sheetName val="CRONOGRAMA"/>
      <sheetName val="BDI OBRAS"/>
      <sheetName val="ENCARGOS SOCIAIS"/>
    </sheetNames>
    <sheetDataSet>
      <sheetData sheetId="0" refreshError="1"/>
      <sheetData sheetId="1"/>
      <sheetData sheetId="2">
        <row r="31">
          <cell r="H31">
            <v>3598.4655776000009</v>
          </cell>
        </row>
        <row r="38">
          <cell r="H38">
            <v>293.91680000000002</v>
          </cell>
        </row>
        <row r="48">
          <cell r="H48">
            <v>21.45834</v>
          </cell>
        </row>
        <row r="56">
          <cell r="H56">
            <v>26.63814</v>
          </cell>
        </row>
        <row r="58">
          <cell r="D58" t="str">
            <v>INTERRUPTOR 2 TECLAS LINHA CONDULETE TOP TIGRE OU SIMILAR - FORNECIMENTO E INSTALAÇÃO</v>
          </cell>
        </row>
        <row r="66">
          <cell r="H66">
            <v>41.864260000000002</v>
          </cell>
        </row>
        <row r="68">
          <cell r="D68" t="str">
            <v>TOMADA 2P+T DUPLA 20A LINHA CONDULETE TOP TIGRE OU SIMILAR - FORNECIMENTO E INSTALAÇÃO</v>
          </cell>
        </row>
        <row r="76">
          <cell r="H76">
            <v>40.204259999999998</v>
          </cell>
        </row>
        <row r="80">
          <cell r="D80" t="str">
            <v>TOMADA DUPLA PARA LÓGICA LINHA CONDULETE TOP TIGRE OU SIMILAR - FORNECIMENTO E INSTALAÇÃO</v>
          </cell>
        </row>
        <row r="88">
          <cell r="H88">
            <v>78.08426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SERV. PRELIMINARES E ARQ.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serviço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DF454-024D-4DEB-BA1F-99529C6E61D4}">
  <sheetPr>
    <tabColor indexed="57"/>
  </sheetPr>
  <dimension ref="A1:BD615"/>
  <sheetViews>
    <sheetView showZeros="0" tabSelected="1" view="pageBreakPreview" topLeftCell="A507" zoomScaleNormal="100" zoomScaleSheetLayoutView="100" workbookViewId="0">
      <selection activeCell="D568" sqref="D568"/>
    </sheetView>
  </sheetViews>
  <sheetFormatPr defaultColWidth="15.7109375" defaultRowHeight="12.75" x14ac:dyDescent="0.2"/>
  <cols>
    <col min="1" max="1" width="8.5703125" style="230" customWidth="1"/>
    <col min="2" max="2" width="13.5703125" style="230" customWidth="1"/>
    <col min="3" max="3" width="69" style="231" customWidth="1"/>
    <col min="4" max="4" width="10.5703125" style="232" customWidth="1"/>
    <col min="5" max="5" width="16" style="235" customWidth="1"/>
    <col min="6" max="6" width="13.85546875" style="236" customWidth="1"/>
    <col min="7" max="7" width="19.85546875" style="236" customWidth="1"/>
    <col min="8" max="8" width="6.28515625" style="39" customWidth="1"/>
    <col min="9" max="9" width="15.7109375" style="7"/>
    <col min="10" max="10" width="18.28515625" style="7" customWidth="1"/>
    <col min="11" max="13" width="15.7109375" style="7"/>
    <col min="14" max="14" width="15.7109375" style="8"/>
    <col min="15" max="256" width="15.7109375" style="7"/>
    <col min="257" max="257" width="8.5703125" style="7" customWidth="1"/>
    <col min="258" max="258" width="13.5703125" style="7" customWidth="1"/>
    <col min="259" max="259" width="69" style="7" customWidth="1"/>
    <col min="260" max="260" width="10.5703125" style="7" customWidth="1"/>
    <col min="261" max="261" width="16" style="7" customWidth="1"/>
    <col min="262" max="262" width="13.85546875" style="7" customWidth="1"/>
    <col min="263" max="263" width="19.85546875" style="7" customWidth="1"/>
    <col min="264" max="264" width="6.28515625" style="7" customWidth="1"/>
    <col min="265" max="265" width="15.7109375" style="7"/>
    <col min="266" max="266" width="18.28515625" style="7" customWidth="1"/>
    <col min="267" max="512" width="15.7109375" style="7"/>
    <col min="513" max="513" width="8.5703125" style="7" customWidth="1"/>
    <col min="514" max="514" width="13.5703125" style="7" customWidth="1"/>
    <col min="515" max="515" width="69" style="7" customWidth="1"/>
    <col min="516" max="516" width="10.5703125" style="7" customWidth="1"/>
    <col min="517" max="517" width="16" style="7" customWidth="1"/>
    <col min="518" max="518" width="13.85546875" style="7" customWidth="1"/>
    <col min="519" max="519" width="19.85546875" style="7" customWidth="1"/>
    <col min="520" max="520" width="6.28515625" style="7" customWidth="1"/>
    <col min="521" max="521" width="15.7109375" style="7"/>
    <col min="522" max="522" width="18.28515625" style="7" customWidth="1"/>
    <col min="523" max="768" width="15.7109375" style="7"/>
    <col min="769" max="769" width="8.5703125" style="7" customWidth="1"/>
    <col min="770" max="770" width="13.5703125" style="7" customWidth="1"/>
    <col min="771" max="771" width="69" style="7" customWidth="1"/>
    <col min="772" max="772" width="10.5703125" style="7" customWidth="1"/>
    <col min="773" max="773" width="16" style="7" customWidth="1"/>
    <col min="774" max="774" width="13.85546875" style="7" customWidth="1"/>
    <col min="775" max="775" width="19.85546875" style="7" customWidth="1"/>
    <col min="776" max="776" width="6.28515625" style="7" customWidth="1"/>
    <col min="777" max="777" width="15.7109375" style="7"/>
    <col min="778" max="778" width="18.28515625" style="7" customWidth="1"/>
    <col min="779" max="1024" width="15.7109375" style="7"/>
    <col min="1025" max="1025" width="8.5703125" style="7" customWidth="1"/>
    <col min="1026" max="1026" width="13.5703125" style="7" customWidth="1"/>
    <col min="1027" max="1027" width="69" style="7" customWidth="1"/>
    <col min="1028" max="1028" width="10.5703125" style="7" customWidth="1"/>
    <col min="1029" max="1029" width="16" style="7" customWidth="1"/>
    <col min="1030" max="1030" width="13.85546875" style="7" customWidth="1"/>
    <col min="1031" max="1031" width="19.85546875" style="7" customWidth="1"/>
    <col min="1032" max="1032" width="6.28515625" style="7" customWidth="1"/>
    <col min="1033" max="1033" width="15.7109375" style="7"/>
    <col min="1034" max="1034" width="18.28515625" style="7" customWidth="1"/>
    <col min="1035" max="1280" width="15.7109375" style="7"/>
    <col min="1281" max="1281" width="8.5703125" style="7" customWidth="1"/>
    <col min="1282" max="1282" width="13.5703125" style="7" customWidth="1"/>
    <col min="1283" max="1283" width="69" style="7" customWidth="1"/>
    <col min="1284" max="1284" width="10.5703125" style="7" customWidth="1"/>
    <col min="1285" max="1285" width="16" style="7" customWidth="1"/>
    <col min="1286" max="1286" width="13.85546875" style="7" customWidth="1"/>
    <col min="1287" max="1287" width="19.85546875" style="7" customWidth="1"/>
    <col min="1288" max="1288" width="6.28515625" style="7" customWidth="1"/>
    <col min="1289" max="1289" width="15.7109375" style="7"/>
    <col min="1290" max="1290" width="18.28515625" style="7" customWidth="1"/>
    <col min="1291" max="1536" width="15.7109375" style="7"/>
    <col min="1537" max="1537" width="8.5703125" style="7" customWidth="1"/>
    <col min="1538" max="1538" width="13.5703125" style="7" customWidth="1"/>
    <col min="1539" max="1539" width="69" style="7" customWidth="1"/>
    <col min="1540" max="1540" width="10.5703125" style="7" customWidth="1"/>
    <col min="1541" max="1541" width="16" style="7" customWidth="1"/>
    <col min="1542" max="1542" width="13.85546875" style="7" customWidth="1"/>
    <col min="1543" max="1543" width="19.85546875" style="7" customWidth="1"/>
    <col min="1544" max="1544" width="6.28515625" style="7" customWidth="1"/>
    <col min="1545" max="1545" width="15.7109375" style="7"/>
    <col min="1546" max="1546" width="18.28515625" style="7" customWidth="1"/>
    <col min="1547" max="1792" width="15.7109375" style="7"/>
    <col min="1793" max="1793" width="8.5703125" style="7" customWidth="1"/>
    <col min="1794" max="1794" width="13.5703125" style="7" customWidth="1"/>
    <col min="1795" max="1795" width="69" style="7" customWidth="1"/>
    <col min="1796" max="1796" width="10.5703125" style="7" customWidth="1"/>
    <col min="1797" max="1797" width="16" style="7" customWidth="1"/>
    <col min="1798" max="1798" width="13.85546875" style="7" customWidth="1"/>
    <col min="1799" max="1799" width="19.85546875" style="7" customWidth="1"/>
    <col min="1800" max="1800" width="6.28515625" style="7" customWidth="1"/>
    <col min="1801" max="1801" width="15.7109375" style="7"/>
    <col min="1802" max="1802" width="18.28515625" style="7" customWidth="1"/>
    <col min="1803" max="2048" width="15.7109375" style="7"/>
    <col min="2049" max="2049" width="8.5703125" style="7" customWidth="1"/>
    <col min="2050" max="2050" width="13.5703125" style="7" customWidth="1"/>
    <col min="2051" max="2051" width="69" style="7" customWidth="1"/>
    <col min="2052" max="2052" width="10.5703125" style="7" customWidth="1"/>
    <col min="2053" max="2053" width="16" style="7" customWidth="1"/>
    <col min="2054" max="2054" width="13.85546875" style="7" customWidth="1"/>
    <col min="2055" max="2055" width="19.85546875" style="7" customWidth="1"/>
    <col min="2056" max="2056" width="6.28515625" style="7" customWidth="1"/>
    <col min="2057" max="2057" width="15.7109375" style="7"/>
    <col min="2058" max="2058" width="18.28515625" style="7" customWidth="1"/>
    <col min="2059" max="2304" width="15.7109375" style="7"/>
    <col min="2305" max="2305" width="8.5703125" style="7" customWidth="1"/>
    <col min="2306" max="2306" width="13.5703125" style="7" customWidth="1"/>
    <col min="2307" max="2307" width="69" style="7" customWidth="1"/>
    <col min="2308" max="2308" width="10.5703125" style="7" customWidth="1"/>
    <col min="2309" max="2309" width="16" style="7" customWidth="1"/>
    <col min="2310" max="2310" width="13.85546875" style="7" customWidth="1"/>
    <col min="2311" max="2311" width="19.85546875" style="7" customWidth="1"/>
    <col min="2312" max="2312" width="6.28515625" style="7" customWidth="1"/>
    <col min="2313" max="2313" width="15.7109375" style="7"/>
    <col min="2314" max="2314" width="18.28515625" style="7" customWidth="1"/>
    <col min="2315" max="2560" width="15.7109375" style="7"/>
    <col min="2561" max="2561" width="8.5703125" style="7" customWidth="1"/>
    <col min="2562" max="2562" width="13.5703125" style="7" customWidth="1"/>
    <col min="2563" max="2563" width="69" style="7" customWidth="1"/>
    <col min="2564" max="2564" width="10.5703125" style="7" customWidth="1"/>
    <col min="2565" max="2565" width="16" style="7" customWidth="1"/>
    <col min="2566" max="2566" width="13.85546875" style="7" customWidth="1"/>
    <col min="2567" max="2567" width="19.85546875" style="7" customWidth="1"/>
    <col min="2568" max="2568" width="6.28515625" style="7" customWidth="1"/>
    <col min="2569" max="2569" width="15.7109375" style="7"/>
    <col min="2570" max="2570" width="18.28515625" style="7" customWidth="1"/>
    <col min="2571" max="2816" width="15.7109375" style="7"/>
    <col min="2817" max="2817" width="8.5703125" style="7" customWidth="1"/>
    <col min="2818" max="2818" width="13.5703125" style="7" customWidth="1"/>
    <col min="2819" max="2819" width="69" style="7" customWidth="1"/>
    <col min="2820" max="2820" width="10.5703125" style="7" customWidth="1"/>
    <col min="2821" max="2821" width="16" style="7" customWidth="1"/>
    <col min="2822" max="2822" width="13.85546875" style="7" customWidth="1"/>
    <col min="2823" max="2823" width="19.85546875" style="7" customWidth="1"/>
    <col min="2824" max="2824" width="6.28515625" style="7" customWidth="1"/>
    <col min="2825" max="2825" width="15.7109375" style="7"/>
    <col min="2826" max="2826" width="18.28515625" style="7" customWidth="1"/>
    <col min="2827" max="3072" width="15.7109375" style="7"/>
    <col min="3073" max="3073" width="8.5703125" style="7" customWidth="1"/>
    <col min="3074" max="3074" width="13.5703125" style="7" customWidth="1"/>
    <col min="3075" max="3075" width="69" style="7" customWidth="1"/>
    <col min="3076" max="3076" width="10.5703125" style="7" customWidth="1"/>
    <col min="3077" max="3077" width="16" style="7" customWidth="1"/>
    <col min="3078" max="3078" width="13.85546875" style="7" customWidth="1"/>
    <col min="3079" max="3079" width="19.85546875" style="7" customWidth="1"/>
    <col min="3080" max="3080" width="6.28515625" style="7" customWidth="1"/>
    <col min="3081" max="3081" width="15.7109375" style="7"/>
    <col min="3082" max="3082" width="18.28515625" style="7" customWidth="1"/>
    <col min="3083" max="3328" width="15.7109375" style="7"/>
    <col min="3329" max="3329" width="8.5703125" style="7" customWidth="1"/>
    <col min="3330" max="3330" width="13.5703125" style="7" customWidth="1"/>
    <col min="3331" max="3331" width="69" style="7" customWidth="1"/>
    <col min="3332" max="3332" width="10.5703125" style="7" customWidth="1"/>
    <col min="3333" max="3333" width="16" style="7" customWidth="1"/>
    <col min="3334" max="3334" width="13.85546875" style="7" customWidth="1"/>
    <col min="3335" max="3335" width="19.85546875" style="7" customWidth="1"/>
    <col min="3336" max="3336" width="6.28515625" style="7" customWidth="1"/>
    <col min="3337" max="3337" width="15.7109375" style="7"/>
    <col min="3338" max="3338" width="18.28515625" style="7" customWidth="1"/>
    <col min="3339" max="3584" width="15.7109375" style="7"/>
    <col min="3585" max="3585" width="8.5703125" style="7" customWidth="1"/>
    <col min="3586" max="3586" width="13.5703125" style="7" customWidth="1"/>
    <col min="3587" max="3587" width="69" style="7" customWidth="1"/>
    <col min="3588" max="3588" width="10.5703125" style="7" customWidth="1"/>
    <col min="3589" max="3589" width="16" style="7" customWidth="1"/>
    <col min="3590" max="3590" width="13.85546875" style="7" customWidth="1"/>
    <col min="3591" max="3591" width="19.85546875" style="7" customWidth="1"/>
    <col min="3592" max="3592" width="6.28515625" style="7" customWidth="1"/>
    <col min="3593" max="3593" width="15.7109375" style="7"/>
    <col min="3594" max="3594" width="18.28515625" style="7" customWidth="1"/>
    <col min="3595" max="3840" width="15.7109375" style="7"/>
    <col min="3841" max="3841" width="8.5703125" style="7" customWidth="1"/>
    <col min="3842" max="3842" width="13.5703125" style="7" customWidth="1"/>
    <col min="3843" max="3843" width="69" style="7" customWidth="1"/>
    <col min="3844" max="3844" width="10.5703125" style="7" customWidth="1"/>
    <col min="3845" max="3845" width="16" style="7" customWidth="1"/>
    <col min="3846" max="3846" width="13.85546875" style="7" customWidth="1"/>
    <col min="3847" max="3847" width="19.85546875" style="7" customWidth="1"/>
    <col min="3848" max="3848" width="6.28515625" style="7" customWidth="1"/>
    <col min="3849" max="3849" width="15.7109375" style="7"/>
    <col min="3850" max="3850" width="18.28515625" style="7" customWidth="1"/>
    <col min="3851" max="4096" width="15.7109375" style="7"/>
    <col min="4097" max="4097" width="8.5703125" style="7" customWidth="1"/>
    <col min="4098" max="4098" width="13.5703125" style="7" customWidth="1"/>
    <col min="4099" max="4099" width="69" style="7" customWidth="1"/>
    <col min="4100" max="4100" width="10.5703125" style="7" customWidth="1"/>
    <col min="4101" max="4101" width="16" style="7" customWidth="1"/>
    <col min="4102" max="4102" width="13.85546875" style="7" customWidth="1"/>
    <col min="4103" max="4103" width="19.85546875" style="7" customWidth="1"/>
    <col min="4104" max="4104" width="6.28515625" style="7" customWidth="1"/>
    <col min="4105" max="4105" width="15.7109375" style="7"/>
    <col min="4106" max="4106" width="18.28515625" style="7" customWidth="1"/>
    <col min="4107" max="4352" width="15.7109375" style="7"/>
    <col min="4353" max="4353" width="8.5703125" style="7" customWidth="1"/>
    <col min="4354" max="4354" width="13.5703125" style="7" customWidth="1"/>
    <col min="4355" max="4355" width="69" style="7" customWidth="1"/>
    <col min="4356" max="4356" width="10.5703125" style="7" customWidth="1"/>
    <col min="4357" max="4357" width="16" style="7" customWidth="1"/>
    <col min="4358" max="4358" width="13.85546875" style="7" customWidth="1"/>
    <col min="4359" max="4359" width="19.85546875" style="7" customWidth="1"/>
    <col min="4360" max="4360" width="6.28515625" style="7" customWidth="1"/>
    <col min="4361" max="4361" width="15.7109375" style="7"/>
    <col min="4362" max="4362" width="18.28515625" style="7" customWidth="1"/>
    <col min="4363" max="4608" width="15.7109375" style="7"/>
    <col min="4609" max="4609" width="8.5703125" style="7" customWidth="1"/>
    <col min="4610" max="4610" width="13.5703125" style="7" customWidth="1"/>
    <col min="4611" max="4611" width="69" style="7" customWidth="1"/>
    <col min="4612" max="4612" width="10.5703125" style="7" customWidth="1"/>
    <col min="4613" max="4613" width="16" style="7" customWidth="1"/>
    <col min="4614" max="4614" width="13.85546875" style="7" customWidth="1"/>
    <col min="4615" max="4615" width="19.85546875" style="7" customWidth="1"/>
    <col min="4616" max="4616" width="6.28515625" style="7" customWidth="1"/>
    <col min="4617" max="4617" width="15.7109375" style="7"/>
    <col min="4618" max="4618" width="18.28515625" style="7" customWidth="1"/>
    <col min="4619" max="4864" width="15.7109375" style="7"/>
    <col min="4865" max="4865" width="8.5703125" style="7" customWidth="1"/>
    <col min="4866" max="4866" width="13.5703125" style="7" customWidth="1"/>
    <col min="4867" max="4867" width="69" style="7" customWidth="1"/>
    <col min="4868" max="4868" width="10.5703125" style="7" customWidth="1"/>
    <col min="4869" max="4869" width="16" style="7" customWidth="1"/>
    <col min="4870" max="4870" width="13.85546875" style="7" customWidth="1"/>
    <col min="4871" max="4871" width="19.85546875" style="7" customWidth="1"/>
    <col min="4872" max="4872" width="6.28515625" style="7" customWidth="1"/>
    <col min="4873" max="4873" width="15.7109375" style="7"/>
    <col min="4874" max="4874" width="18.28515625" style="7" customWidth="1"/>
    <col min="4875" max="5120" width="15.7109375" style="7"/>
    <col min="5121" max="5121" width="8.5703125" style="7" customWidth="1"/>
    <col min="5122" max="5122" width="13.5703125" style="7" customWidth="1"/>
    <col min="5123" max="5123" width="69" style="7" customWidth="1"/>
    <col min="5124" max="5124" width="10.5703125" style="7" customWidth="1"/>
    <col min="5125" max="5125" width="16" style="7" customWidth="1"/>
    <col min="5126" max="5126" width="13.85546875" style="7" customWidth="1"/>
    <col min="5127" max="5127" width="19.85546875" style="7" customWidth="1"/>
    <col min="5128" max="5128" width="6.28515625" style="7" customWidth="1"/>
    <col min="5129" max="5129" width="15.7109375" style="7"/>
    <col min="5130" max="5130" width="18.28515625" style="7" customWidth="1"/>
    <col min="5131" max="5376" width="15.7109375" style="7"/>
    <col min="5377" max="5377" width="8.5703125" style="7" customWidth="1"/>
    <col min="5378" max="5378" width="13.5703125" style="7" customWidth="1"/>
    <col min="5379" max="5379" width="69" style="7" customWidth="1"/>
    <col min="5380" max="5380" width="10.5703125" style="7" customWidth="1"/>
    <col min="5381" max="5381" width="16" style="7" customWidth="1"/>
    <col min="5382" max="5382" width="13.85546875" style="7" customWidth="1"/>
    <col min="5383" max="5383" width="19.85546875" style="7" customWidth="1"/>
    <col min="5384" max="5384" width="6.28515625" style="7" customWidth="1"/>
    <col min="5385" max="5385" width="15.7109375" style="7"/>
    <col min="5386" max="5386" width="18.28515625" style="7" customWidth="1"/>
    <col min="5387" max="5632" width="15.7109375" style="7"/>
    <col min="5633" max="5633" width="8.5703125" style="7" customWidth="1"/>
    <col min="5634" max="5634" width="13.5703125" style="7" customWidth="1"/>
    <col min="5635" max="5635" width="69" style="7" customWidth="1"/>
    <col min="5636" max="5636" width="10.5703125" style="7" customWidth="1"/>
    <col min="5637" max="5637" width="16" style="7" customWidth="1"/>
    <col min="5638" max="5638" width="13.85546875" style="7" customWidth="1"/>
    <col min="5639" max="5639" width="19.85546875" style="7" customWidth="1"/>
    <col min="5640" max="5640" width="6.28515625" style="7" customWidth="1"/>
    <col min="5641" max="5641" width="15.7109375" style="7"/>
    <col min="5642" max="5642" width="18.28515625" style="7" customWidth="1"/>
    <col min="5643" max="5888" width="15.7109375" style="7"/>
    <col min="5889" max="5889" width="8.5703125" style="7" customWidth="1"/>
    <col min="5890" max="5890" width="13.5703125" style="7" customWidth="1"/>
    <col min="5891" max="5891" width="69" style="7" customWidth="1"/>
    <col min="5892" max="5892" width="10.5703125" style="7" customWidth="1"/>
    <col min="5893" max="5893" width="16" style="7" customWidth="1"/>
    <col min="5894" max="5894" width="13.85546875" style="7" customWidth="1"/>
    <col min="5895" max="5895" width="19.85546875" style="7" customWidth="1"/>
    <col min="5896" max="5896" width="6.28515625" style="7" customWidth="1"/>
    <col min="5897" max="5897" width="15.7109375" style="7"/>
    <col min="5898" max="5898" width="18.28515625" style="7" customWidth="1"/>
    <col min="5899" max="6144" width="15.7109375" style="7"/>
    <col min="6145" max="6145" width="8.5703125" style="7" customWidth="1"/>
    <col min="6146" max="6146" width="13.5703125" style="7" customWidth="1"/>
    <col min="6147" max="6147" width="69" style="7" customWidth="1"/>
    <col min="6148" max="6148" width="10.5703125" style="7" customWidth="1"/>
    <col min="6149" max="6149" width="16" style="7" customWidth="1"/>
    <col min="6150" max="6150" width="13.85546875" style="7" customWidth="1"/>
    <col min="6151" max="6151" width="19.85546875" style="7" customWidth="1"/>
    <col min="6152" max="6152" width="6.28515625" style="7" customWidth="1"/>
    <col min="6153" max="6153" width="15.7109375" style="7"/>
    <col min="6154" max="6154" width="18.28515625" style="7" customWidth="1"/>
    <col min="6155" max="6400" width="15.7109375" style="7"/>
    <col min="6401" max="6401" width="8.5703125" style="7" customWidth="1"/>
    <col min="6402" max="6402" width="13.5703125" style="7" customWidth="1"/>
    <col min="6403" max="6403" width="69" style="7" customWidth="1"/>
    <col min="6404" max="6404" width="10.5703125" style="7" customWidth="1"/>
    <col min="6405" max="6405" width="16" style="7" customWidth="1"/>
    <col min="6406" max="6406" width="13.85546875" style="7" customWidth="1"/>
    <col min="6407" max="6407" width="19.85546875" style="7" customWidth="1"/>
    <col min="6408" max="6408" width="6.28515625" style="7" customWidth="1"/>
    <col min="6409" max="6409" width="15.7109375" style="7"/>
    <col min="6410" max="6410" width="18.28515625" style="7" customWidth="1"/>
    <col min="6411" max="6656" width="15.7109375" style="7"/>
    <col min="6657" max="6657" width="8.5703125" style="7" customWidth="1"/>
    <col min="6658" max="6658" width="13.5703125" style="7" customWidth="1"/>
    <col min="6659" max="6659" width="69" style="7" customWidth="1"/>
    <col min="6660" max="6660" width="10.5703125" style="7" customWidth="1"/>
    <col min="6661" max="6661" width="16" style="7" customWidth="1"/>
    <col min="6662" max="6662" width="13.85546875" style="7" customWidth="1"/>
    <col min="6663" max="6663" width="19.85546875" style="7" customWidth="1"/>
    <col min="6664" max="6664" width="6.28515625" style="7" customWidth="1"/>
    <col min="6665" max="6665" width="15.7109375" style="7"/>
    <col min="6666" max="6666" width="18.28515625" style="7" customWidth="1"/>
    <col min="6667" max="6912" width="15.7109375" style="7"/>
    <col min="6913" max="6913" width="8.5703125" style="7" customWidth="1"/>
    <col min="6914" max="6914" width="13.5703125" style="7" customWidth="1"/>
    <col min="6915" max="6915" width="69" style="7" customWidth="1"/>
    <col min="6916" max="6916" width="10.5703125" style="7" customWidth="1"/>
    <col min="6917" max="6917" width="16" style="7" customWidth="1"/>
    <col min="6918" max="6918" width="13.85546875" style="7" customWidth="1"/>
    <col min="6919" max="6919" width="19.85546875" style="7" customWidth="1"/>
    <col min="6920" max="6920" width="6.28515625" style="7" customWidth="1"/>
    <col min="6921" max="6921" width="15.7109375" style="7"/>
    <col min="6922" max="6922" width="18.28515625" style="7" customWidth="1"/>
    <col min="6923" max="7168" width="15.7109375" style="7"/>
    <col min="7169" max="7169" width="8.5703125" style="7" customWidth="1"/>
    <col min="7170" max="7170" width="13.5703125" style="7" customWidth="1"/>
    <col min="7171" max="7171" width="69" style="7" customWidth="1"/>
    <col min="7172" max="7172" width="10.5703125" style="7" customWidth="1"/>
    <col min="7173" max="7173" width="16" style="7" customWidth="1"/>
    <col min="7174" max="7174" width="13.85546875" style="7" customWidth="1"/>
    <col min="7175" max="7175" width="19.85546875" style="7" customWidth="1"/>
    <col min="7176" max="7176" width="6.28515625" style="7" customWidth="1"/>
    <col min="7177" max="7177" width="15.7109375" style="7"/>
    <col min="7178" max="7178" width="18.28515625" style="7" customWidth="1"/>
    <col min="7179" max="7424" width="15.7109375" style="7"/>
    <col min="7425" max="7425" width="8.5703125" style="7" customWidth="1"/>
    <col min="7426" max="7426" width="13.5703125" style="7" customWidth="1"/>
    <col min="7427" max="7427" width="69" style="7" customWidth="1"/>
    <col min="7428" max="7428" width="10.5703125" style="7" customWidth="1"/>
    <col min="7429" max="7429" width="16" style="7" customWidth="1"/>
    <col min="7430" max="7430" width="13.85546875" style="7" customWidth="1"/>
    <col min="7431" max="7431" width="19.85546875" style="7" customWidth="1"/>
    <col min="7432" max="7432" width="6.28515625" style="7" customWidth="1"/>
    <col min="7433" max="7433" width="15.7109375" style="7"/>
    <col min="7434" max="7434" width="18.28515625" style="7" customWidth="1"/>
    <col min="7435" max="7680" width="15.7109375" style="7"/>
    <col min="7681" max="7681" width="8.5703125" style="7" customWidth="1"/>
    <col min="7682" max="7682" width="13.5703125" style="7" customWidth="1"/>
    <col min="7683" max="7683" width="69" style="7" customWidth="1"/>
    <col min="7684" max="7684" width="10.5703125" style="7" customWidth="1"/>
    <col min="7685" max="7685" width="16" style="7" customWidth="1"/>
    <col min="7686" max="7686" width="13.85546875" style="7" customWidth="1"/>
    <col min="7687" max="7687" width="19.85546875" style="7" customWidth="1"/>
    <col min="7688" max="7688" width="6.28515625" style="7" customWidth="1"/>
    <col min="7689" max="7689" width="15.7109375" style="7"/>
    <col min="7690" max="7690" width="18.28515625" style="7" customWidth="1"/>
    <col min="7691" max="7936" width="15.7109375" style="7"/>
    <col min="7937" max="7937" width="8.5703125" style="7" customWidth="1"/>
    <col min="7938" max="7938" width="13.5703125" style="7" customWidth="1"/>
    <col min="7939" max="7939" width="69" style="7" customWidth="1"/>
    <col min="7940" max="7940" width="10.5703125" style="7" customWidth="1"/>
    <col min="7941" max="7941" width="16" style="7" customWidth="1"/>
    <col min="7942" max="7942" width="13.85546875" style="7" customWidth="1"/>
    <col min="7943" max="7943" width="19.85546875" style="7" customWidth="1"/>
    <col min="7944" max="7944" width="6.28515625" style="7" customWidth="1"/>
    <col min="7945" max="7945" width="15.7109375" style="7"/>
    <col min="7946" max="7946" width="18.28515625" style="7" customWidth="1"/>
    <col min="7947" max="8192" width="15.7109375" style="7"/>
    <col min="8193" max="8193" width="8.5703125" style="7" customWidth="1"/>
    <col min="8194" max="8194" width="13.5703125" style="7" customWidth="1"/>
    <col min="8195" max="8195" width="69" style="7" customWidth="1"/>
    <col min="8196" max="8196" width="10.5703125" style="7" customWidth="1"/>
    <col min="8197" max="8197" width="16" style="7" customWidth="1"/>
    <col min="8198" max="8198" width="13.85546875" style="7" customWidth="1"/>
    <col min="8199" max="8199" width="19.85546875" style="7" customWidth="1"/>
    <col min="8200" max="8200" width="6.28515625" style="7" customWidth="1"/>
    <col min="8201" max="8201" width="15.7109375" style="7"/>
    <col min="8202" max="8202" width="18.28515625" style="7" customWidth="1"/>
    <col min="8203" max="8448" width="15.7109375" style="7"/>
    <col min="8449" max="8449" width="8.5703125" style="7" customWidth="1"/>
    <col min="8450" max="8450" width="13.5703125" style="7" customWidth="1"/>
    <col min="8451" max="8451" width="69" style="7" customWidth="1"/>
    <col min="8452" max="8452" width="10.5703125" style="7" customWidth="1"/>
    <col min="8453" max="8453" width="16" style="7" customWidth="1"/>
    <col min="8454" max="8454" width="13.85546875" style="7" customWidth="1"/>
    <col min="8455" max="8455" width="19.85546875" style="7" customWidth="1"/>
    <col min="8456" max="8456" width="6.28515625" style="7" customWidth="1"/>
    <col min="8457" max="8457" width="15.7109375" style="7"/>
    <col min="8458" max="8458" width="18.28515625" style="7" customWidth="1"/>
    <col min="8459" max="8704" width="15.7109375" style="7"/>
    <col min="8705" max="8705" width="8.5703125" style="7" customWidth="1"/>
    <col min="8706" max="8706" width="13.5703125" style="7" customWidth="1"/>
    <col min="8707" max="8707" width="69" style="7" customWidth="1"/>
    <col min="8708" max="8708" width="10.5703125" style="7" customWidth="1"/>
    <col min="8709" max="8709" width="16" style="7" customWidth="1"/>
    <col min="8710" max="8710" width="13.85546875" style="7" customWidth="1"/>
    <col min="8711" max="8711" width="19.85546875" style="7" customWidth="1"/>
    <col min="8712" max="8712" width="6.28515625" style="7" customWidth="1"/>
    <col min="8713" max="8713" width="15.7109375" style="7"/>
    <col min="8714" max="8714" width="18.28515625" style="7" customWidth="1"/>
    <col min="8715" max="8960" width="15.7109375" style="7"/>
    <col min="8961" max="8961" width="8.5703125" style="7" customWidth="1"/>
    <col min="8962" max="8962" width="13.5703125" style="7" customWidth="1"/>
    <col min="8963" max="8963" width="69" style="7" customWidth="1"/>
    <col min="8964" max="8964" width="10.5703125" style="7" customWidth="1"/>
    <col min="8965" max="8965" width="16" style="7" customWidth="1"/>
    <col min="8966" max="8966" width="13.85546875" style="7" customWidth="1"/>
    <col min="8967" max="8967" width="19.85546875" style="7" customWidth="1"/>
    <col min="8968" max="8968" width="6.28515625" style="7" customWidth="1"/>
    <col min="8969" max="8969" width="15.7109375" style="7"/>
    <col min="8970" max="8970" width="18.28515625" style="7" customWidth="1"/>
    <col min="8971" max="9216" width="15.7109375" style="7"/>
    <col min="9217" max="9217" width="8.5703125" style="7" customWidth="1"/>
    <col min="9218" max="9218" width="13.5703125" style="7" customWidth="1"/>
    <col min="9219" max="9219" width="69" style="7" customWidth="1"/>
    <col min="9220" max="9220" width="10.5703125" style="7" customWidth="1"/>
    <col min="9221" max="9221" width="16" style="7" customWidth="1"/>
    <col min="9222" max="9222" width="13.85546875" style="7" customWidth="1"/>
    <col min="9223" max="9223" width="19.85546875" style="7" customWidth="1"/>
    <col min="9224" max="9224" width="6.28515625" style="7" customWidth="1"/>
    <col min="9225" max="9225" width="15.7109375" style="7"/>
    <col min="9226" max="9226" width="18.28515625" style="7" customWidth="1"/>
    <col min="9227" max="9472" width="15.7109375" style="7"/>
    <col min="9473" max="9473" width="8.5703125" style="7" customWidth="1"/>
    <col min="9474" max="9474" width="13.5703125" style="7" customWidth="1"/>
    <col min="9475" max="9475" width="69" style="7" customWidth="1"/>
    <col min="9476" max="9476" width="10.5703125" style="7" customWidth="1"/>
    <col min="9477" max="9477" width="16" style="7" customWidth="1"/>
    <col min="9478" max="9478" width="13.85546875" style="7" customWidth="1"/>
    <col min="9479" max="9479" width="19.85546875" style="7" customWidth="1"/>
    <col min="9480" max="9480" width="6.28515625" style="7" customWidth="1"/>
    <col min="9481" max="9481" width="15.7109375" style="7"/>
    <col min="9482" max="9482" width="18.28515625" style="7" customWidth="1"/>
    <col min="9483" max="9728" width="15.7109375" style="7"/>
    <col min="9729" max="9729" width="8.5703125" style="7" customWidth="1"/>
    <col min="9730" max="9730" width="13.5703125" style="7" customWidth="1"/>
    <col min="9731" max="9731" width="69" style="7" customWidth="1"/>
    <col min="9732" max="9732" width="10.5703125" style="7" customWidth="1"/>
    <col min="9733" max="9733" width="16" style="7" customWidth="1"/>
    <col min="9734" max="9734" width="13.85546875" style="7" customWidth="1"/>
    <col min="9735" max="9735" width="19.85546875" style="7" customWidth="1"/>
    <col min="9736" max="9736" width="6.28515625" style="7" customWidth="1"/>
    <col min="9737" max="9737" width="15.7109375" style="7"/>
    <col min="9738" max="9738" width="18.28515625" style="7" customWidth="1"/>
    <col min="9739" max="9984" width="15.7109375" style="7"/>
    <col min="9985" max="9985" width="8.5703125" style="7" customWidth="1"/>
    <col min="9986" max="9986" width="13.5703125" style="7" customWidth="1"/>
    <col min="9987" max="9987" width="69" style="7" customWidth="1"/>
    <col min="9988" max="9988" width="10.5703125" style="7" customWidth="1"/>
    <col min="9989" max="9989" width="16" style="7" customWidth="1"/>
    <col min="9990" max="9990" width="13.85546875" style="7" customWidth="1"/>
    <col min="9991" max="9991" width="19.85546875" style="7" customWidth="1"/>
    <col min="9992" max="9992" width="6.28515625" style="7" customWidth="1"/>
    <col min="9993" max="9993" width="15.7109375" style="7"/>
    <col min="9994" max="9994" width="18.28515625" style="7" customWidth="1"/>
    <col min="9995" max="10240" width="15.7109375" style="7"/>
    <col min="10241" max="10241" width="8.5703125" style="7" customWidth="1"/>
    <col min="10242" max="10242" width="13.5703125" style="7" customWidth="1"/>
    <col min="10243" max="10243" width="69" style="7" customWidth="1"/>
    <col min="10244" max="10244" width="10.5703125" style="7" customWidth="1"/>
    <col min="10245" max="10245" width="16" style="7" customWidth="1"/>
    <col min="10246" max="10246" width="13.85546875" style="7" customWidth="1"/>
    <col min="10247" max="10247" width="19.85546875" style="7" customWidth="1"/>
    <col min="10248" max="10248" width="6.28515625" style="7" customWidth="1"/>
    <col min="10249" max="10249" width="15.7109375" style="7"/>
    <col min="10250" max="10250" width="18.28515625" style="7" customWidth="1"/>
    <col min="10251" max="10496" width="15.7109375" style="7"/>
    <col min="10497" max="10497" width="8.5703125" style="7" customWidth="1"/>
    <col min="10498" max="10498" width="13.5703125" style="7" customWidth="1"/>
    <col min="10499" max="10499" width="69" style="7" customWidth="1"/>
    <col min="10500" max="10500" width="10.5703125" style="7" customWidth="1"/>
    <col min="10501" max="10501" width="16" style="7" customWidth="1"/>
    <col min="10502" max="10502" width="13.85546875" style="7" customWidth="1"/>
    <col min="10503" max="10503" width="19.85546875" style="7" customWidth="1"/>
    <col min="10504" max="10504" width="6.28515625" style="7" customWidth="1"/>
    <col min="10505" max="10505" width="15.7109375" style="7"/>
    <col min="10506" max="10506" width="18.28515625" style="7" customWidth="1"/>
    <col min="10507" max="10752" width="15.7109375" style="7"/>
    <col min="10753" max="10753" width="8.5703125" style="7" customWidth="1"/>
    <col min="10754" max="10754" width="13.5703125" style="7" customWidth="1"/>
    <col min="10755" max="10755" width="69" style="7" customWidth="1"/>
    <col min="10756" max="10756" width="10.5703125" style="7" customWidth="1"/>
    <col min="10757" max="10757" width="16" style="7" customWidth="1"/>
    <col min="10758" max="10758" width="13.85546875" style="7" customWidth="1"/>
    <col min="10759" max="10759" width="19.85546875" style="7" customWidth="1"/>
    <col min="10760" max="10760" width="6.28515625" style="7" customWidth="1"/>
    <col min="10761" max="10761" width="15.7109375" style="7"/>
    <col min="10762" max="10762" width="18.28515625" style="7" customWidth="1"/>
    <col min="10763" max="11008" width="15.7109375" style="7"/>
    <col min="11009" max="11009" width="8.5703125" style="7" customWidth="1"/>
    <col min="11010" max="11010" width="13.5703125" style="7" customWidth="1"/>
    <col min="11011" max="11011" width="69" style="7" customWidth="1"/>
    <col min="11012" max="11012" width="10.5703125" style="7" customWidth="1"/>
    <col min="11013" max="11013" width="16" style="7" customWidth="1"/>
    <col min="11014" max="11014" width="13.85546875" style="7" customWidth="1"/>
    <col min="11015" max="11015" width="19.85546875" style="7" customWidth="1"/>
    <col min="11016" max="11016" width="6.28515625" style="7" customWidth="1"/>
    <col min="11017" max="11017" width="15.7109375" style="7"/>
    <col min="11018" max="11018" width="18.28515625" style="7" customWidth="1"/>
    <col min="11019" max="11264" width="15.7109375" style="7"/>
    <col min="11265" max="11265" width="8.5703125" style="7" customWidth="1"/>
    <col min="11266" max="11266" width="13.5703125" style="7" customWidth="1"/>
    <col min="11267" max="11267" width="69" style="7" customWidth="1"/>
    <col min="11268" max="11268" width="10.5703125" style="7" customWidth="1"/>
    <col min="11269" max="11269" width="16" style="7" customWidth="1"/>
    <col min="11270" max="11270" width="13.85546875" style="7" customWidth="1"/>
    <col min="11271" max="11271" width="19.85546875" style="7" customWidth="1"/>
    <col min="11272" max="11272" width="6.28515625" style="7" customWidth="1"/>
    <col min="11273" max="11273" width="15.7109375" style="7"/>
    <col min="11274" max="11274" width="18.28515625" style="7" customWidth="1"/>
    <col min="11275" max="11520" width="15.7109375" style="7"/>
    <col min="11521" max="11521" width="8.5703125" style="7" customWidth="1"/>
    <col min="11522" max="11522" width="13.5703125" style="7" customWidth="1"/>
    <col min="11523" max="11523" width="69" style="7" customWidth="1"/>
    <col min="11524" max="11524" width="10.5703125" style="7" customWidth="1"/>
    <col min="11525" max="11525" width="16" style="7" customWidth="1"/>
    <col min="11526" max="11526" width="13.85546875" style="7" customWidth="1"/>
    <col min="11527" max="11527" width="19.85546875" style="7" customWidth="1"/>
    <col min="11528" max="11528" width="6.28515625" style="7" customWidth="1"/>
    <col min="11529" max="11529" width="15.7109375" style="7"/>
    <col min="11530" max="11530" width="18.28515625" style="7" customWidth="1"/>
    <col min="11531" max="11776" width="15.7109375" style="7"/>
    <col min="11777" max="11777" width="8.5703125" style="7" customWidth="1"/>
    <col min="11778" max="11778" width="13.5703125" style="7" customWidth="1"/>
    <col min="11779" max="11779" width="69" style="7" customWidth="1"/>
    <col min="11780" max="11780" width="10.5703125" style="7" customWidth="1"/>
    <col min="11781" max="11781" width="16" style="7" customWidth="1"/>
    <col min="11782" max="11782" width="13.85546875" style="7" customWidth="1"/>
    <col min="11783" max="11783" width="19.85546875" style="7" customWidth="1"/>
    <col min="11784" max="11784" width="6.28515625" style="7" customWidth="1"/>
    <col min="11785" max="11785" width="15.7109375" style="7"/>
    <col min="11786" max="11786" width="18.28515625" style="7" customWidth="1"/>
    <col min="11787" max="12032" width="15.7109375" style="7"/>
    <col min="12033" max="12033" width="8.5703125" style="7" customWidth="1"/>
    <col min="12034" max="12034" width="13.5703125" style="7" customWidth="1"/>
    <col min="12035" max="12035" width="69" style="7" customWidth="1"/>
    <col min="12036" max="12036" width="10.5703125" style="7" customWidth="1"/>
    <col min="12037" max="12037" width="16" style="7" customWidth="1"/>
    <col min="12038" max="12038" width="13.85546875" style="7" customWidth="1"/>
    <col min="12039" max="12039" width="19.85546875" style="7" customWidth="1"/>
    <col min="12040" max="12040" width="6.28515625" style="7" customWidth="1"/>
    <col min="12041" max="12041" width="15.7109375" style="7"/>
    <col min="12042" max="12042" width="18.28515625" style="7" customWidth="1"/>
    <col min="12043" max="12288" width="15.7109375" style="7"/>
    <col min="12289" max="12289" width="8.5703125" style="7" customWidth="1"/>
    <col min="12290" max="12290" width="13.5703125" style="7" customWidth="1"/>
    <col min="12291" max="12291" width="69" style="7" customWidth="1"/>
    <col min="12292" max="12292" width="10.5703125" style="7" customWidth="1"/>
    <col min="12293" max="12293" width="16" style="7" customWidth="1"/>
    <col min="12294" max="12294" width="13.85546875" style="7" customWidth="1"/>
    <col min="12295" max="12295" width="19.85546875" style="7" customWidth="1"/>
    <col min="12296" max="12296" width="6.28515625" style="7" customWidth="1"/>
    <col min="12297" max="12297" width="15.7109375" style="7"/>
    <col min="12298" max="12298" width="18.28515625" style="7" customWidth="1"/>
    <col min="12299" max="12544" width="15.7109375" style="7"/>
    <col min="12545" max="12545" width="8.5703125" style="7" customWidth="1"/>
    <col min="12546" max="12546" width="13.5703125" style="7" customWidth="1"/>
    <col min="12547" max="12547" width="69" style="7" customWidth="1"/>
    <col min="12548" max="12548" width="10.5703125" style="7" customWidth="1"/>
    <col min="12549" max="12549" width="16" style="7" customWidth="1"/>
    <col min="12550" max="12550" width="13.85546875" style="7" customWidth="1"/>
    <col min="12551" max="12551" width="19.85546875" style="7" customWidth="1"/>
    <col min="12552" max="12552" width="6.28515625" style="7" customWidth="1"/>
    <col min="12553" max="12553" width="15.7109375" style="7"/>
    <col min="12554" max="12554" width="18.28515625" style="7" customWidth="1"/>
    <col min="12555" max="12800" width="15.7109375" style="7"/>
    <col min="12801" max="12801" width="8.5703125" style="7" customWidth="1"/>
    <col min="12802" max="12802" width="13.5703125" style="7" customWidth="1"/>
    <col min="12803" max="12803" width="69" style="7" customWidth="1"/>
    <col min="12804" max="12804" width="10.5703125" style="7" customWidth="1"/>
    <col min="12805" max="12805" width="16" style="7" customWidth="1"/>
    <col min="12806" max="12806" width="13.85546875" style="7" customWidth="1"/>
    <col min="12807" max="12807" width="19.85546875" style="7" customWidth="1"/>
    <col min="12808" max="12808" width="6.28515625" style="7" customWidth="1"/>
    <col min="12809" max="12809" width="15.7109375" style="7"/>
    <col min="12810" max="12810" width="18.28515625" style="7" customWidth="1"/>
    <col min="12811" max="13056" width="15.7109375" style="7"/>
    <col min="13057" max="13057" width="8.5703125" style="7" customWidth="1"/>
    <col min="13058" max="13058" width="13.5703125" style="7" customWidth="1"/>
    <col min="13059" max="13059" width="69" style="7" customWidth="1"/>
    <col min="13060" max="13060" width="10.5703125" style="7" customWidth="1"/>
    <col min="13061" max="13061" width="16" style="7" customWidth="1"/>
    <col min="13062" max="13062" width="13.85546875" style="7" customWidth="1"/>
    <col min="13063" max="13063" width="19.85546875" style="7" customWidth="1"/>
    <col min="13064" max="13064" width="6.28515625" style="7" customWidth="1"/>
    <col min="13065" max="13065" width="15.7109375" style="7"/>
    <col min="13066" max="13066" width="18.28515625" style="7" customWidth="1"/>
    <col min="13067" max="13312" width="15.7109375" style="7"/>
    <col min="13313" max="13313" width="8.5703125" style="7" customWidth="1"/>
    <col min="13314" max="13314" width="13.5703125" style="7" customWidth="1"/>
    <col min="13315" max="13315" width="69" style="7" customWidth="1"/>
    <col min="13316" max="13316" width="10.5703125" style="7" customWidth="1"/>
    <col min="13317" max="13317" width="16" style="7" customWidth="1"/>
    <col min="13318" max="13318" width="13.85546875" style="7" customWidth="1"/>
    <col min="13319" max="13319" width="19.85546875" style="7" customWidth="1"/>
    <col min="13320" max="13320" width="6.28515625" style="7" customWidth="1"/>
    <col min="13321" max="13321" width="15.7109375" style="7"/>
    <col min="13322" max="13322" width="18.28515625" style="7" customWidth="1"/>
    <col min="13323" max="13568" width="15.7109375" style="7"/>
    <col min="13569" max="13569" width="8.5703125" style="7" customWidth="1"/>
    <col min="13570" max="13570" width="13.5703125" style="7" customWidth="1"/>
    <col min="13571" max="13571" width="69" style="7" customWidth="1"/>
    <col min="13572" max="13572" width="10.5703125" style="7" customWidth="1"/>
    <col min="13573" max="13573" width="16" style="7" customWidth="1"/>
    <col min="13574" max="13574" width="13.85546875" style="7" customWidth="1"/>
    <col min="13575" max="13575" width="19.85546875" style="7" customWidth="1"/>
    <col min="13576" max="13576" width="6.28515625" style="7" customWidth="1"/>
    <col min="13577" max="13577" width="15.7109375" style="7"/>
    <col min="13578" max="13578" width="18.28515625" style="7" customWidth="1"/>
    <col min="13579" max="13824" width="15.7109375" style="7"/>
    <col min="13825" max="13825" width="8.5703125" style="7" customWidth="1"/>
    <col min="13826" max="13826" width="13.5703125" style="7" customWidth="1"/>
    <col min="13827" max="13827" width="69" style="7" customWidth="1"/>
    <col min="13828" max="13828" width="10.5703125" style="7" customWidth="1"/>
    <col min="13829" max="13829" width="16" style="7" customWidth="1"/>
    <col min="13830" max="13830" width="13.85546875" style="7" customWidth="1"/>
    <col min="13831" max="13831" width="19.85546875" style="7" customWidth="1"/>
    <col min="13832" max="13832" width="6.28515625" style="7" customWidth="1"/>
    <col min="13833" max="13833" width="15.7109375" style="7"/>
    <col min="13834" max="13834" width="18.28515625" style="7" customWidth="1"/>
    <col min="13835" max="14080" width="15.7109375" style="7"/>
    <col min="14081" max="14081" width="8.5703125" style="7" customWidth="1"/>
    <col min="14082" max="14082" width="13.5703125" style="7" customWidth="1"/>
    <col min="14083" max="14083" width="69" style="7" customWidth="1"/>
    <col min="14084" max="14084" width="10.5703125" style="7" customWidth="1"/>
    <col min="14085" max="14085" width="16" style="7" customWidth="1"/>
    <col min="14086" max="14086" width="13.85546875" style="7" customWidth="1"/>
    <col min="14087" max="14087" width="19.85546875" style="7" customWidth="1"/>
    <col min="14088" max="14088" width="6.28515625" style="7" customWidth="1"/>
    <col min="14089" max="14089" width="15.7109375" style="7"/>
    <col min="14090" max="14090" width="18.28515625" style="7" customWidth="1"/>
    <col min="14091" max="14336" width="15.7109375" style="7"/>
    <col min="14337" max="14337" width="8.5703125" style="7" customWidth="1"/>
    <col min="14338" max="14338" width="13.5703125" style="7" customWidth="1"/>
    <col min="14339" max="14339" width="69" style="7" customWidth="1"/>
    <col min="14340" max="14340" width="10.5703125" style="7" customWidth="1"/>
    <col min="14341" max="14341" width="16" style="7" customWidth="1"/>
    <col min="14342" max="14342" width="13.85546875" style="7" customWidth="1"/>
    <col min="14343" max="14343" width="19.85546875" style="7" customWidth="1"/>
    <col min="14344" max="14344" width="6.28515625" style="7" customWidth="1"/>
    <col min="14345" max="14345" width="15.7109375" style="7"/>
    <col min="14346" max="14346" width="18.28515625" style="7" customWidth="1"/>
    <col min="14347" max="14592" width="15.7109375" style="7"/>
    <col min="14593" max="14593" width="8.5703125" style="7" customWidth="1"/>
    <col min="14594" max="14594" width="13.5703125" style="7" customWidth="1"/>
    <col min="14595" max="14595" width="69" style="7" customWidth="1"/>
    <col min="14596" max="14596" width="10.5703125" style="7" customWidth="1"/>
    <col min="14597" max="14597" width="16" style="7" customWidth="1"/>
    <col min="14598" max="14598" width="13.85546875" style="7" customWidth="1"/>
    <col min="14599" max="14599" width="19.85546875" style="7" customWidth="1"/>
    <col min="14600" max="14600" width="6.28515625" style="7" customWidth="1"/>
    <col min="14601" max="14601" width="15.7109375" style="7"/>
    <col min="14602" max="14602" width="18.28515625" style="7" customWidth="1"/>
    <col min="14603" max="14848" width="15.7109375" style="7"/>
    <col min="14849" max="14849" width="8.5703125" style="7" customWidth="1"/>
    <col min="14850" max="14850" width="13.5703125" style="7" customWidth="1"/>
    <col min="14851" max="14851" width="69" style="7" customWidth="1"/>
    <col min="14852" max="14852" width="10.5703125" style="7" customWidth="1"/>
    <col min="14853" max="14853" width="16" style="7" customWidth="1"/>
    <col min="14854" max="14854" width="13.85546875" style="7" customWidth="1"/>
    <col min="14855" max="14855" width="19.85546875" style="7" customWidth="1"/>
    <col min="14856" max="14856" width="6.28515625" style="7" customWidth="1"/>
    <col min="14857" max="14857" width="15.7109375" style="7"/>
    <col min="14858" max="14858" width="18.28515625" style="7" customWidth="1"/>
    <col min="14859" max="15104" width="15.7109375" style="7"/>
    <col min="15105" max="15105" width="8.5703125" style="7" customWidth="1"/>
    <col min="15106" max="15106" width="13.5703125" style="7" customWidth="1"/>
    <col min="15107" max="15107" width="69" style="7" customWidth="1"/>
    <col min="15108" max="15108" width="10.5703125" style="7" customWidth="1"/>
    <col min="15109" max="15109" width="16" style="7" customWidth="1"/>
    <col min="15110" max="15110" width="13.85546875" style="7" customWidth="1"/>
    <col min="15111" max="15111" width="19.85546875" style="7" customWidth="1"/>
    <col min="15112" max="15112" width="6.28515625" style="7" customWidth="1"/>
    <col min="15113" max="15113" width="15.7109375" style="7"/>
    <col min="15114" max="15114" width="18.28515625" style="7" customWidth="1"/>
    <col min="15115" max="15360" width="15.7109375" style="7"/>
    <col min="15361" max="15361" width="8.5703125" style="7" customWidth="1"/>
    <col min="15362" max="15362" width="13.5703125" style="7" customWidth="1"/>
    <col min="15363" max="15363" width="69" style="7" customWidth="1"/>
    <col min="15364" max="15364" width="10.5703125" style="7" customWidth="1"/>
    <col min="15365" max="15365" width="16" style="7" customWidth="1"/>
    <col min="15366" max="15366" width="13.85546875" style="7" customWidth="1"/>
    <col min="15367" max="15367" width="19.85546875" style="7" customWidth="1"/>
    <col min="15368" max="15368" width="6.28515625" style="7" customWidth="1"/>
    <col min="15369" max="15369" width="15.7109375" style="7"/>
    <col min="15370" max="15370" width="18.28515625" style="7" customWidth="1"/>
    <col min="15371" max="15616" width="15.7109375" style="7"/>
    <col min="15617" max="15617" width="8.5703125" style="7" customWidth="1"/>
    <col min="15618" max="15618" width="13.5703125" style="7" customWidth="1"/>
    <col min="15619" max="15619" width="69" style="7" customWidth="1"/>
    <col min="15620" max="15620" width="10.5703125" style="7" customWidth="1"/>
    <col min="15621" max="15621" width="16" style="7" customWidth="1"/>
    <col min="15622" max="15622" width="13.85546875" style="7" customWidth="1"/>
    <col min="15623" max="15623" width="19.85546875" style="7" customWidth="1"/>
    <col min="15624" max="15624" width="6.28515625" style="7" customWidth="1"/>
    <col min="15625" max="15625" width="15.7109375" style="7"/>
    <col min="15626" max="15626" width="18.28515625" style="7" customWidth="1"/>
    <col min="15627" max="15872" width="15.7109375" style="7"/>
    <col min="15873" max="15873" width="8.5703125" style="7" customWidth="1"/>
    <col min="15874" max="15874" width="13.5703125" style="7" customWidth="1"/>
    <col min="15875" max="15875" width="69" style="7" customWidth="1"/>
    <col min="15876" max="15876" width="10.5703125" style="7" customWidth="1"/>
    <col min="15877" max="15877" width="16" style="7" customWidth="1"/>
    <col min="15878" max="15878" width="13.85546875" style="7" customWidth="1"/>
    <col min="15879" max="15879" width="19.85546875" style="7" customWidth="1"/>
    <col min="15880" max="15880" width="6.28515625" style="7" customWidth="1"/>
    <col min="15881" max="15881" width="15.7109375" style="7"/>
    <col min="15882" max="15882" width="18.28515625" style="7" customWidth="1"/>
    <col min="15883" max="16128" width="15.7109375" style="7"/>
    <col min="16129" max="16129" width="8.5703125" style="7" customWidth="1"/>
    <col min="16130" max="16130" width="13.5703125" style="7" customWidth="1"/>
    <col min="16131" max="16131" width="69" style="7" customWidth="1"/>
    <col min="16132" max="16132" width="10.5703125" style="7" customWidth="1"/>
    <col min="16133" max="16133" width="16" style="7" customWidth="1"/>
    <col min="16134" max="16134" width="13.85546875" style="7" customWidth="1"/>
    <col min="16135" max="16135" width="19.85546875" style="7" customWidth="1"/>
    <col min="16136" max="16136" width="6.28515625" style="7" customWidth="1"/>
    <col min="16137" max="16137" width="15.7109375" style="7"/>
    <col min="16138" max="16138" width="18.28515625" style="7" customWidth="1"/>
    <col min="16139" max="16384" width="15.7109375" style="7"/>
  </cols>
  <sheetData>
    <row r="1" spans="1:14" ht="25.5" x14ac:dyDescent="0.25">
      <c r="A1" s="1" t="s">
        <v>0</v>
      </c>
      <c r="B1" s="2"/>
      <c r="C1" s="2"/>
      <c r="D1" s="2"/>
      <c r="E1" s="3"/>
      <c r="F1" s="4"/>
      <c r="G1" s="5"/>
      <c r="H1" s="6"/>
    </row>
    <row r="2" spans="1:14" ht="20.25" x14ac:dyDescent="0.25">
      <c r="A2" s="9" t="s">
        <v>1</v>
      </c>
      <c r="B2" s="10"/>
      <c r="C2" s="10"/>
      <c r="D2" s="10"/>
      <c r="E2" s="11"/>
      <c r="F2" s="12"/>
      <c r="G2" s="13"/>
      <c r="H2" s="6"/>
    </row>
    <row r="3" spans="1:14" ht="15.75" customHeight="1" x14ac:dyDescent="0.25">
      <c r="A3" s="14" t="s">
        <v>2</v>
      </c>
      <c r="B3" s="15"/>
      <c r="C3" s="15"/>
      <c r="D3" s="15"/>
      <c r="E3" s="16"/>
      <c r="F3" s="17"/>
      <c r="G3" s="13"/>
      <c r="H3" s="6"/>
    </row>
    <row r="4" spans="1:14" ht="15.75" x14ac:dyDescent="0.25">
      <c r="A4" s="18" t="s">
        <v>3</v>
      </c>
      <c r="B4" s="19"/>
      <c r="C4" s="20"/>
      <c r="D4" s="21" t="s">
        <v>4</v>
      </c>
      <c r="E4" s="22" t="s">
        <v>5</v>
      </c>
      <c r="F4" s="23" t="s">
        <v>6</v>
      </c>
      <c r="G4" s="13"/>
      <c r="H4" s="6"/>
    </row>
    <row r="5" spans="1:14" ht="20.25" customHeight="1" x14ac:dyDescent="0.25">
      <c r="A5" s="24" t="s">
        <v>7</v>
      </c>
      <c r="B5" s="25"/>
      <c r="C5" s="25"/>
      <c r="D5" s="25"/>
      <c r="E5" s="25"/>
      <c r="F5" s="26"/>
      <c r="G5" s="13"/>
      <c r="H5" s="6"/>
    </row>
    <row r="6" spans="1:14" ht="15.75" x14ac:dyDescent="0.25">
      <c r="A6" s="27" t="s">
        <v>8</v>
      </c>
      <c r="B6" s="28"/>
      <c r="C6" s="28"/>
      <c r="D6" s="29" t="s">
        <v>9</v>
      </c>
      <c r="E6" s="29"/>
      <c r="F6" s="17"/>
      <c r="G6" s="13"/>
      <c r="H6" s="6"/>
    </row>
    <row r="7" spans="1:14" ht="16.5" thickBot="1" x14ac:dyDescent="0.3">
      <c r="A7" s="30" t="s">
        <v>10</v>
      </c>
      <c r="B7" s="31"/>
      <c r="C7" s="31"/>
      <c r="D7" s="32"/>
      <c r="E7" s="32"/>
      <c r="F7" s="17"/>
      <c r="G7" s="13"/>
      <c r="H7" s="6"/>
    </row>
    <row r="8" spans="1:14" s="40" customFormat="1" ht="16.5" customHeight="1" thickBot="1" x14ac:dyDescent="0.3">
      <c r="A8" s="33" t="s">
        <v>11</v>
      </c>
      <c r="B8" s="34" t="s">
        <v>12</v>
      </c>
      <c r="C8" s="35" t="s">
        <v>13</v>
      </c>
      <c r="D8" s="36" t="s">
        <v>14</v>
      </c>
      <c r="E8" s="37" t="s">
        <v>15</v>
      </c>
      <c r="F8" s="36" t="s">
        <v>16</v>
      </c>
      <c r="G8" s="38" t="s">
        <v>17</v>
      </c>
      <c r="H8" s="39"/>
      <c r="K8" s="40" t="s">
        <v>18</v>
      </c>
      <c r="N8" s="41"/>
    </row>
    <row r="9" spans="1:14" s="40" customFormat="1" ht="26.25" thickBot="1" x14ac:dyDescent="0.3">
      <c r="A9" s="42">
        <v>1</v>
      </c>
      <c r="B9" s="43" t="s">
        <v>19</v>
      </c>
      <c r="C9" s="44" t="s">
        <v>20</v>
      </c>
      <c r="D9" s="45"/>
      <c r="E9" s="46"/>
      <c r="F9" s="46"/>
      <c r="G9" s="47">
        <f>SUM(G10:G17)</f>
        <v>112394.6813</v>
      </c>
      <c r="H9" s="48">
        <f t="shared" ref="H9:H64" si="0">G9/$G$602</f>
        <v>1.6147615108846287E-2</v>
      </c>
      <c r="J9" s="49"/>
      <c r="N9" s="41"/>
    </row>
    <row r="10" spans="1:14" s="40" customFormat="1" ht="36" x14ac:dyDescent="0.25">
      <c r="A10" s="50" t="s">
        <v>21</v>
      </c>
      <c r="B10" s="51">
        <v>73467</v>
      </c>
      <c r="C10" s="52" t="s">
        <v>22</v>
      </c>
      <c r="D10" s="53" t="s">
        <v>23</v>
      </c>
      <c r="E10" s="54">
        <v>40</v>
      </c>
      <c r="F10" s="55">
        <v>103.26</v>
      </c>
      <c r="G10" s="56">
        <f t="shared" ref="G10:G17" si="1">E10*F10</f>
        <v>4130.4000000000005</v>
      </c>
      <c r="H10" s="48">
        <f t="shared" si="0"/>
        <v>5.9340983642771998E-4</v>
      </c>
      <c r="N10" s="41"/>
    </row>
    <row r="11" spans="1:14" s="40" customFormat="1" ht="18" x14ac:dyDescent="0.25">
      <c r="A11" s="50" t="s">
        <v>24</v>
      </c>
      <c r="B11" s="51">
        <v>88316</v>
      </c>
      <c r="C11" s="52" t="s">
        <v>25</v>
      </c>
      <c r="D11" s="53" t="s">
        <v>23</v>
      </c>
      <c r="E11" s="54">
        <f>E10*2</f>
        <v>80</v>
      </c>
      <c r="F11" s="55">
        <v>16.670000000000002</v>
      </c>
      <c r="G11" s="56">
        <f t="shared" si="1"/>
        <v>1333.6000000000001</v>
      </c>
      <c r="H11" s="48">
        <f t="shared" si="0"/>
        <v>1.9159678429692215E-4</v>
      </c>
      <c r="N11" s="41"/>
    </row>
    <row r="12" spans="1:14" s="40" customFormat="1" ht="36" x14ac:dyDescent="0.25">
      <c r="A12" s="50" t="s">
        <v>26</v>
      </c>
      <c r="B12" s="51" t="s">
        <v>27</v>
      </c>
      <c r="C12" s="52" t="s">
        <v>28</v>
      </c>
      <c r="D12" s="57" t="s">
        <v>29</v>
      </c>
      <c r="E12" s="55">
        <f>12*7.48</f>
        <v>89.76</v>
      </c>
      <c r="F12" s="55">
        <v>316.77999999999997</v>
      </c>
      <c r="G12" s="56">
        <f t="shared" si="1"/>
        <v>28434.1728</v>
      </c>
      <c r="H12" s="48">
        <f t="shared" si="0"/>
        <v>4.0851050334605662E-3</v>
      </c>
      <c r="N12" s="41"/>
    </row>
    <row r="13" spans="1:14" s="40" customFormat="1" ht="54" x14ac:dyDescent="0.25">
      <c r="A13" s="50" t="s">
        <v>30</v>
      </c>
      <c r="B13" s="58">
        <v>93207</v>
      </c>
      <c r="C13" s="59" t="s">
        <v>31</v>
      </c>
      <c r="D13" s="57" t="s">
        <v>29</v>
      </c>
      <c r="E13" s="60">
        <f>7.7*3.3</f>
        <v>25.41</v>
      </c>
      <c r="F13" s="61">
        <v>762.25</v>
      </c>
      <c r="G13" s="56">
        <f t="shared" si="1"/>
        <v>19368.772499999999</v>
      </c>
      <c r="H13" s="48">
        <f t="shared" si="0"/>
        <v>2.7826893572125504E-3</v>
      </c>
      <c r="N13" s="41"/>
    </row>
    <row r="14" spans="1:14" s="40" customFormat="1" ht="54" x14ac:dyDescent="0.25">
      <c r="A14" s="50" t="s">
        <v>32</v>
      </c>
      <c r="B14" s="58">
        <v>93208</v>
      </c>
      <c r="C14" s="59" t="s">
        <v>33</v>
      </c>
      <c r="D14" s="57" t="s">
        <v>29</v>
      </c>
      <c r="E14" s="60">
        <f>8.8*4.4</f>
        <v>38.720000000000006</v>
      </c>
      <c r="F14" s="61">
        <v>604.1</v>
      </c>
      <c r="G14" s="56">
        <f t="shared" si="1"/>
        <v>23390.752000000004</v>
      </c>
      <c r="H14" s="48">
        <f t="shared" si="0"/>
        <v>3.3605225446061795E-3</v>
      </c>
      <c r="N14" s="41"/>
    </row>
    <row r="15" spans="1:14" s="40" customFormat="1" ht="54" x14ac:dyDescent="0.25">
      <c r="A15" s="50" t="s">
        <v>34</v>
      </c>
      <c r="B15" s="58">
        <v>93210</v>
      </c>
      <c r="C15" s="59" t="s">
        <v>35</v>
      </c>
      <c r="D15" s="57" t="s">
        <v>29</v>
      </c>
      <c r="E15" s="60">
        <f>9.8*4.4</f>
        <v>43.120000000000005</v>
      </c>
      <c r="F15" s="61">
        <v>428.2</v>
      </c>
      <c r="G15" s="56">
        <f t="shared" si="1"/>
        <v>18463.984</v>
      </c>
      <c r="H15" s="48">
        <f t="shared" si="0"/>
        <v>2.6526994298963868E-3</v>
      </c>
      <c r="N15" s="41"/>
    </row>
    <row r="16" spans="1:14" s="40" customFormat="1" ht="36" x14ac:dyDescent="0.25">
      <c r="A16" s="50" t="s">
        <v>36</v>
      </c>
      <c r="B16" s="62" t="s">
        <v>37</v>
      </c>
      <c r="C16" s="63" t="str">
        <f>UPPER("Tapume em chapa galvanizada nº30, esp=0,35mm, h=2,00m, exclusive pintura")</f>
        <v>TAPUME EM CHAPA GALVANIZADA Nº30, ESP=0,35MM, H=2,00M, EXCLUSIVE PINTURA</v>
      </c>
      <c r="D16" s="64" t="s">
        <v>38</v>
      </c>
      <c r="E16" s="65">
        <v>100</v>
      </c>
      <c r="F16" s="66">
        <v>132.16999999999999</v>
      </c>
      <c r="G16" s="56">
        <f t="shared" si="1"/>
        <v>13216.999999999998</v>
      </c>
      <c r="H16" s="48">
        <f t="shared" si="0"/>
        <v>1.8988712492894568E-3</v>
      </c>
      <c r="N16" s="41"/>
    </row>
    <row r="17" spans="1:14" s="40" customFormat="1" ht="54.75" thickBot="1" x14ac:dyDescent="0.3">
      <c r="A17" s="50" t="s">
        <v>39</v>
      </c>
      <c r="B17" s="67">
        <v>100742</v>
      </c>
      <c r="C17" s="68" t="s">
        <v>40</v>
      </c>
      <c r="D17" s="69" t="s">
        <v>29</v>
      </c>
      <c r="E17" s="55">
        <f>E16*2</f>
        <v>200</v>
      </c>
      <c r="F17" s="55">
        <v>20.28</v>
      </c>
      <c r="G17" s="56">
        <f t="shared" si="1"/>
        <v>4056</v>
      </c>
      <c r="H17" s="48">
        <f t="shared" si="0"/>
        <v>5.8272087365650587E-4</v>
      </c>
      <c r="N17" s="41"/>
    </row>
    <row r="18" spans="1:14" s="40" customFormat="1" ht="18.75" thickBot="1" x14ac:dyDescent="0.3">
      <c r="A18" s="42">
        <v>2</v>
      </c>
      <c r="B18" s="70"/>
      <c r="C18" s="71" t="s">
        <v>41</v>
      </c>
      <c r="D18" s="45"/>
      <c r="E18" s="46"/>
      <c r="F18" s="46"/>
      <c r="G18" s="72">
        <f>SUM(G19:G69)</f>
        <v>317211.10000000003</v>
      </c>
      <c r="H18" s="48">
        <f t="shared" si="0"/>
        <v>4.5573355356395777E-2</v>
      </c>
      <c r="J18" s="73"/>
    </row>
    <row r="19" spans="1:14" s="40" customFormat="1" ht="18" customHeight="1" x14ac:dyDescent="0.25">
      <c r="A19" s="50" t="s">
        <v>42</v>
      </c>
      <c r="B19" s="74">
        <v>97662</v>
      </c>
      <c r="C19" s="52" t="s">
        <v>43</v>
      </c>
      <c r="D19" s="53" t="s">
        <v>38</v>
      </c>
      <c r="E19" s="54">
        <v>1000</v>
      </c>
      <c r="F19" s="54">
        <v>0.39</v>
      </c>
      <c r="G19" s="75">
        <f t="shared" ref="G19:G69" si="2">F19*E19</f>
        <v>390</v>
      </c>
      <c r="H19" s="48">
        <f t="shared" si="0"/>
        <v>5.6030853236202487E-5</v>
      </c>
      <c r="J19" s="73"/>
      <c r="N19" s="41"/>
    </row>
    <row r="20" spans="1:14" s="40" customFormat="1" ht="18" x14ac:dyDescent="0.25">
      <c r="A20" s="50" t="s">
        <v>44</v>
      </c>
      <c r="B20" s="74" t="s">
        <v>45</v>
      </c>
      <c r="C20" s="52" t="s">
        <v>46</v>
      </c>
      <c r="D20" s="53" t="s">
        <v>29</v>
      </c>
      <c r="E20" s="54">
        <v>250</v>
      </c>
      <c r="F20" s="54">
        <v>11.74</v>
      </c>
      <c r="G20" s="75">
        <f t="shared" si="2"/>
        <v>2935</v>
      </c>
      <c r="H20" s="48">
        <f t="shared" si="0"/>
        <v>4.2166808781603666E-4</v>
      </c>
      <c r="J20" s="73"/>
      <c r="N20" s="41"/>
    </row>
    <row r="21" spans="1:14" s="40" customFormat="1" ht="18" x14ac:dyDescent="0.25">
      <c r="A21" s="50" t="s">
        <v>47</v>
      </c>
      <c r="B21" s="74" t="s">
        <v>48</v>
      </c>
      <c r="C21" s="52" t="s">
        <v>49</v>
      </c>
      <c r="D21" s="53" t="s">
        <v>29</v>
      </c>
      <c r="E21" s="54">
        <v>250</v>
      </c>
      <c r="F21" s="54">
        <v>13.67</v>
      </c>
      <c r="G21" s="75">
        <f t="shared" si="2"/>
        <v>3417.5</v>
      </c>
      <c r="H21" s="48">
        <f t="shared" si="0"/>
        <v>4.9098831008903077E-4</v>
      </c>
      <c r="J21" s="73"/>
      <c r="N21" s="41"/>
    </row>
    <row r="22" spans="1:14" s="40" customFormat="1" ht="36" x14ac:dyDescent="0.25">
      <c r="A22" s="50" t="s">
        <v>50</v>
      </c>
      <c r="B22" s="74">
        <v>97663</v>
      </c>
      <c r="C22" s="52" t="s">
        <v>51</v>
      </c>
      <c r="D22" s="53" t="s">
        <v>52</v>
      </c>
      <c r="E22" s="54">
        <v>200</v>
      </c>
      <c r="F22" s="54">
        <v>9.8800000000000008</v>
      </c>
      <c r="G22" s="75">
        <f t="shared" si="2"/>
        <v>1976.0000000000002</v>
      </c>
      <c r="H22" s="48">
        <f t="shared" si="0"/>
        <v>2.8388965639675927E-4</v>
      </c>
      <c r="J22" s="73"/>
      <c r="N22" s="41"/>
    </row>
    <row r="23" spans="1:14" s="40" customFormat="1" ht="36" x14ac:dyDescent="0.25">
      <c r="A23" s="50" t="s">
        <v>53</v>
      </c>
      <c r="B23" s="74">
        <v>97661</v>
      </c>
      <c r="C23" s="52" t="s">
        <v>54</v>
      </c>
      <c r="D23" s="53" t="s">
        <v>38</v>
      </c>
      <c r="E23" s="54">
        <v>2000</v>
      </c>
      <c r="F23" s="54">
        <v>0.54</v>
      </c>
      <c r="G23" s="75">
        <f t="shared" si="2"/>
        <v>1080</v>
      </c>
      <c r="H23" s="48">
        <f t="shared" si="0"/>
        <v>1.5516236280794534E-4</v>
      </c>
      <c r="J23" s="73"/>
      <c r="N23" s="41"/>
    </row>
    <row r="24" spans="1:14" s="40" customFormat="1" ht="18" x14ac:dyDescent="0.25">
      <c r="A24" s="50" t="s">
        <v>55</v>
      </c>
      <c r="B24" s="76" t="s">
        <v>56</v>
      </c>
      <c r="C24" s="52" t="s">
        <v>57</v>
      </c>
      <c r="D24" s="53" t="s">
        <v>29</v>
      </c>
      <c r="E24" s="54">
        <v>1000</v>
      </c>
      <c r="F24" s="54">
        <v>6.92</v>
      </c>
      <c r="G24" s="75">
        <f t="shared" si="2"/>
        <v>6920</v>
      </c>
      <c r="H24" s="48">
        <f t="shared" si="0"/>
        <v>9.9418847280646457E-4</v>
      </c>
      <c r="J24" s="73"/>
      <c r="N24" s="41"/>
    </row>
    <row r="25" spans="1:14" s="40" customFormat="1" ht="18" x14ac:dyDescent="0.25">
      <c r="A25" s="50" t="s">
        <v>58</v>
      </c>
      <c r="B25" s="74">
        <v>72224</v>
      </c>
      <c r="C25" s="52" t="s">
        <v>59</v>
      </c>
      <c r="D25" s="53" t="s">
        <v>29</v>
      </c>
      <c r="E25" s="54">
        <v>1000</v>
      </c>
      <c r="F25" s="54">
        <v>8.7799999999999994</v>
      </c>
      <c r="G25" s="75">
        <f t="shared" si="2"/>
        <v>8780</v>
      </c>
      <c r="H25" s="48">
        <f t="shared" si="0"/>
        <v>1.2614125420868148E-3</v>
      </c>
      <c r="J25" s="73"/>
      <c r="N25" s="41"/>
    </row>
    <row r="26" spans="1:14" s="40" customFormat="1" ht="18" x14ac:dyDescent="0.25">
      <c r="A26" s="50" t="s">
        <v>60</v>
      </c>
      <c r="B26" s="74">
        <v>97650</v>
      </c>
      <c r="C26" s="52" t="s">
        <v>61</v>
      </c>
      <c r="D26" s="53" t="s">
        <v>29</v>
      </c>
      <c r="E26" s="54">
        <v>1000</v>
      </c>
      <c r="F26" s="54">
        <v>6.14</v>
      </c>
      <c r="G26" s="75">
        <f t="shared" si="2"/>
        <v>6140</v>
      </c>
      <c r="H26" s="48">
        <f t="shared" si="0"/>
        <v>8.8212676633405969E-4</v>
      </c>
      <c r="J26" s="73"/>
      <c r="N26" s="41"/>
    </row>
    <row r="27" spans="1:14" s="40" customFormat="1" ht="18" x14ac:dyDescent="0.25">
      <c r="A27" s="50" t="s">
        <v>62</v>
      </c>
      <c r="B27" s="74">
        <v>97652</v>
      </c>
      <c r="C27" s="52" t="s">
        <v>63</v>
      </c>
      <c r="D27" s="53" t="s">
        <v>52</v>
      </c>
      <c r="E27" s="54">
        <v>20</v>
      </c>
      <c r="F27" s="54">
        <v>154.26</v>
      </c>
      <c r="G27" s="75">
        <f t="shared" si="2"/>
        <v>3085.2</v>
      </c>
      <c r="H27" s="48">
        <f t="shared" si="0"/>
        <v>4.4324714975469716E-4</v>
      </c>
      <c r="J27" s="73"/>
      <c r="N27" s="41"/>
    </row>
    <row r="28" spans="1:14" s="40" customFormat="1" ht="18" x14ac:dyDescent="0.25">
      <c r="A28" s="50" t="s">
        <v>64</v>
      </c>
      <c r="B28" s="74">
        <v>97624</v>
      </c>
      <c r="C28" s="52" t="s">
        <v>65</v>
      </c>
      <c r="D28" s="53" t="s">
        <v>66</v>
      </c>
      <c r="E28" s="54">
        <v>50</v>
      </c>
      <c r="F28" s="54">
        <v>83.01</v>
      </c>
      <c r="G28" s="75">
        <f t="shared" si="2"/>
        <v>4150.5</v>
      </c>
      <c r="H28" s="48">
        <f t="shared" si="0"/>
        <v>5.962975804022011E-4</v>
      </c>
      <c r="J28" s="73"/>
      <c r="N28" s="41"/>
    </row>
    <row r="29" spans="1:14" s="40" customFormat="1" ht="36" x14ac:dyDescent="0.25">
      <c r="A29" s="50" t="s">
        <v>67</v>
      </c>
      <c r="B29" s="74">
        <v>97622</v>
      </c>
      <c r="C29" s="52" t="s">
        <v>68</v>
      </c>
      <c r="D29" s="53" t="s">
        <v>66</v>
      </c>
      <c r="E29" s="54">
        <v>150</v>
      </c>
      <c r="F29" s="54">
        <v>44.15</v>
      </c>
      <c r="G29" s="75">
        <f t="shared" si="2"/>
        <v>6622.5</v>
      </c>
      <c r="H29" s="48">
        <f t="shared" si="0"/>
        <v>9.5144698860705375E-4</v>
      </c>
      <c r="J29" s="73"/>
      <c r="N29" s="41"/>
    </row>
    <row r="30" spans="1:14" s="40" customFormat="1" ht="18" x14ac:dyDescent="0.25">
      <c r="A30" s="50" t="s">
        <v>69</v>
      </c>
      <c r="B30" s="74" t="s">
        <v>70</v>
      </c>
      <c r="C30" s="52" t="s">
        <v>71</v>
      </c>
      <c r="D30" s="53" t="s">
        <v>29</v>
      </c>
      <c r="E30" s="54">
        <v>1000</v>
      </c>
      <c r="F30" s="54">
        <v>3.77</v>
      </c>
      <c r="G30" s="75">
        <f t="shared" si="2"/>
        <v>3770</v>
      </c>
      <c r="H30" s="48">
        <f t="shared" si="0"/>
        <v>5.416315812832907E-4</v>
      </c>
      <c r="J30" s="73"/>
      <c r="N30" s="41"/>
    </row>
    <row r="31" spans="1:14" s="40" customFormat="1" ht="36" x14ac:dyDescent="0.25">
      <c r="A31" s="50" t="s">
        <v>72</v>
      </c>
      <c r="B31" s="76" t="s">
        <v>73</v>
      </c>
      <c r="C31" s="52" t="str">
        <f>UPPER("Demolição manual de piso em concreto simples e/ou cimentado")</f>
        <v>DEMOLIÇÃO MANUAL DE PISO EM CONCRETO SIMPLES E/OU CIMENTADO</v>
      </c>
      <c r="D31" s="53" t="s">
        <v>29</v>
      </c>
      <c r="E31" s="54">
        <v>500</v>
      </c>
      <c r="F31" s="54">
        <v>19.16</v>
      </c>
      <c r="G31" s="75">
        <f t="shared" si="2"/>
        <v>9580</v>
      </c>
      <c r="H31" s="48">
        <f t="shared" si="0"/>
        <v>1.3763476256482558E-3</v>
      </c>
      <c r="J31" s="73"/>
      <c r="N31" s="41"/>
    </row>
    <row r="32" spans="1:14" s="40" customFormat="1" ht="18" x14ac:dyDescent="0.25">
      <c r="A32" s="50" t="s">
        <v>74</v>
      </c>
      <c r="B32" s="74">
        <v>97660</v>
      </c>
      <c r="C32" s="52" t="s">
        <v>75</v>
      </c>
      <c r="D32" s="53" t="s">
        <v>52</v>
      </c>
      <c r="E32" s="54">
        <v>1000</v>
      </c>
      <c r="F32" s="54">
        <v>0.54</v>
      </c>
      <c r="G32" s="75">
        <f t="shared" si="2"/>
        <v>540</v>
      </c>
      <c r="H32" s="48">
        <f t="shared" si="0"/>
        <v>7.7581181403972669E-5</v>
      </c>
      <c r="J32" s="73"/>
      <c r="N32" s="41"/>
    </row>
    <row r="33" spans="1:14" s="40" customFormat="1" ht="36" x14ac:dyDescent="0.25">
      <c r="A33" s="50" t="s">
        <v>76</v>
      </c>
      <c r="B33" s="77">
        <v>97635</v>
      </c>
      <c r="C33" s="78" t="str">
        <f>UPPER("Demolição de pavimentação em paralelepípedo ou pré-moldados de concreto c/ reaproveitamento")</f>
        <v>DEMOLIÇÃO DE PAVIMENTAÇÃO EM PARALELEPÍPEDO OU PRÉ-MOLDADOS DE CONCRETO C/ REAPROVEITAMENTO</v>
      </c>
      <c r="D33" s="69" t="s">
        <v>29</v>
      </c>
      <c r="E33" s="55">
        <v>500</v>
      </c>
      <c r="F33" s="55">
        <v>13.94</v>
      </c>
      <c r="G33" s="75">
        <f t="shared" si="2"/>
        <v>6970</v>
      </c>
      <c r="H33" s="48">
        <f t="shared" si="0"/>
        <v>1.0013719155290547E-3</v>
      </c>
      <c r="J33" s="73"/>
      <c r="N33" s="41"/>
    </row>
    <row r="34" spans="1:14" s="40" customFormat="1" ht="18" x14ac:dyDescent="0.25">
      <c r="A34" s="50" t="s">
        <v>77</v>
      </c>
      <c r="B34" s="74">
        <v>93358</v>
      </c>
      <c r="C34" s="52" t="s">
        <v>78</v>
      </c>
      <c r="D34" s="53" t="s">
        <v>66</v>
      </c>
      <c r="E34" s="54">
        <v>150</v>
      </c>
      <c r="F34" s="54">
        <v>65.94</v>
      </c>
      <c r="G34" s="75">
        <f t="shared" si="2"/>
        <v>9891</v>
      </c>
      <c r="H34" s="48">
        <f t="shared" si="0"/>
        <v>1.4210286393827661E-3</v>
      </c>
      <c r="J34" s="73"/>
      <c r="N34" s="41"/>
    </row>
    <row r="35" spans="1:14" s="40" customFormat="1" ht="18" x14ac:dyDescent="0.25">
      <c r="A35" s="50" t="s">
        <v>79</v>
      </c>
      <c r="B35" s="76" t="s">
        <v>80</v>
      </c>
      <c r="C35" s="52" t="s">
        <v>81</v>
      </c>
      <c r="D35" s="53" t="s">
        <v>38</v>
      </c>
      <c r="E35" s="54">
        <v>250</v>
      </c>
      <c r="F35" s="54">
        <v>32.58</v>
      </c>
      <c r="G35" s="75">
        <f t="shared" si="2"/>
        <v>8145</v>
      </c>
      <c r="H35" s="48">
        <f t="shared" si="0"/>
        <v>1.1701828195099212E-3</v>
      </c>
      <c r="J35" s="73"/>
      <c r="N35" s="41"/>
    </row>
    <row r="36" spans="1:14" s="40" customFormat="1" ht="36" x14ac:dyDescent="0.25">
      <c r="A36" s="50" t="s">
        <v>82</v>
      </c>
      <c r="B36" s="74">
        <v>97665</v>
      </c>
      <c r="C36" s="52" t="s">
        <v>83</v>
      </c>
      <c r="D36" s="57" t="s">
        <v>52</v>
      </c>
      <c r="E36" s="54">
        <v>500</v>
      </c>
      <c r="F36" s="54">
        <v>1.03</v>
      </c>
      <c r="G36" s="75">
        <f t="shared" si="2"/>
        <v>515</v>
      </c>
      <c r="H36" s="48">
        <f t="shared" si="0"/>
        <v>7.3989460042677644E-5</v>
      </c>
      <c r="J36" s="73"/>
      <c r="N36" s="41"/>
    </row>
    <row r="37" spans="1:14" s="40" customFormat="1" ht="18" x14ac:dyDescent="0.25">
      <c r="A37" s="50" t="s">
        <v>84</v>
      </c>
      <c r="B37" s="74" t="s">
        <v>85</v>
      </c>
      <c r="C37" s="52" t="s">
        <v>86</v>
      </c>
      <c r="D37" s="53" t="s">
        <v>29</v>
      </c>
      <c r="E37" s="54">
        <v>1500</v>
      </c>
      <c r="F37" s="54">
        <v>5.9</v>
      </c>
      <c r="G37" s="75">
        <f t="shared" si="2"/>
        <v>8850</v>
      </c>
      <c r="H37" s="48">
        <f t="shared" si="0"/>
        <v>1.271469361898441E-3</v>
      </c>
      <c r="J37" s="73"/>
      <c r="N37" s="41"/>
    </row>
    <row r="38" spans="1:14" s="40" customFormat="1" ht="18" x14ac:dyDescent="0.25">
      <c r="A38" s="50" t="s">
        <v>87</v>
      </c>
      <c r="B38" s="74">
        <v>90446</v>
      </c>
      <c r="C38" s="52" t="s">
        <v>88</v>
      </c>
      <c r="D38" s="53" t="s">
        <v>38</v>
      </c>
      <c r="E38" s="54">
        <v>250</v>
      </c>
      <c r="F38" s="54">
        <v>31.47</v>
      </c>
      <c r="G38" s="75">
        <f t="shared" si="2"/>
        <v>7867.5</v>
      </c>
      <c r="H38" s="48">
        <f t="shared" si="0"/>
        <v>1.1303147123995464E-3</v>
      </c>
      <c r="J38" s="73"/>
      <c r="N38" s="41"/>
    </row>
    <row r="39" spans="1:14" s="40" customFormat="1" ht="36" x14ac:dyDescent="0.25">
      <c r="A39" s="50" t="s">
        <v>89</v>
      </c>
      <c r="B39" s="79">
        <v>90439</v>
      </c>
      <c r="C39" s="80" t="s">
        <v>90</v>
      </c>
      <c r="D39" s="57" t="s">
        <v>52</v>
      </c>
      <c r="E39" s="55">
        <v>50</v>
      </c>
      <c r="F39" s="55">
        <v>63.24</v>
      </c>
      <c r="G39" s="75">
        <f t="shared" si="2"/>
        <v>3162</v>
      </c>
      <c r="H39" s="48">
        <f t="shared" si="0"/>
        <v>4.5428091777659555E-4</v>
      </c>
      <c r="J39" s="73"/>
      <c r="N39" s="41"/>
    </row>
    <row r="40" spans="1:14" s="40" customFormat="1" ht="36" x14ac:dyDescent="0.25">
      <c r="A40" s="50" t="s">
        <v>91</v>
      </c>
      <c r="B40" s="81">
        <v>90443</v>
      </c>
      <c r="C40" s="80" t="s">
        <v>92</v>
      </c>
      <c r="D40" s="69" t="s">
        <v>38</v>
      </c>
      <c r="E40" s="55">
        <v>150</v>
      </c>
      <c r="F40" s="55">
        <v>11.88</v>
      </c>
      <c r="G40" s="75">
        <f t="shared" si="2"/>
        <v>1782.0000000000002</v>
      </c>
      <c r="H40" s="48">
        <f t="shared" si="0"/>
        <v>2.5601789863310986E-4</v>
      </c>
      <c r="J40" s="73"/>
      <c r="N40" s="41"/>
    </row>
    <row r="41" spans="1:14" s="40" customFormat="1" ht="18" x14ac:dyDescent="0.25">
      <c r="A41" s="50" t="s">
        <v>93</v>
      </c>
      <c r="B41" s="74">
        <v>96995</v>
      </c>
      <c r="C41" s="52" t="s">
        <v>94</v>
      </c>
      <c r="D41" s="53" t="s">
        <v>66</v>
      </c>
      <c r="E41" s="54">
        <v>100</v>
      </c>
      <c r="F41" s="54">
        <v>39.979999999999997</v>
      </c>
      <c r="G41" s="75">
        <f t="shared" si="2"/>
        <v>3997.9999999999995</v>
      </c>
      <c r="H41" s="48">
        <f t="shared" si="0"/>
        <v>5.7438808009830137E-4</v>
      </c>
      <c r="J41" s="73"/>
      <c r="N41" s="41"/>
    </row>
    <row r="42" spans="1:14" s="40" customFormat="1" ht="36" x14ac:dyDescent="0.25">
      <c r="A42" s="50" t="s">
        <v>95</v>
      </c>
      <c r="B42" s="74" t="s">
        <v>96</v>
      </c>
      <c r="C42" s="52" t="s">
        <v>97</v>
      </c>
      <c r="D42" s="53" t="s">
        <v>66</v>
      </c>
      <c r="E42" s="54">
        <v>500</v>
      </c>
      <c r="F42" s="54">
        <v>2.64</v>
      </c>
      <c r="G42" s="75">
        <f t="shared" si="2"/>
        <v>1320</v>
      </c>
      <c r="H42" s="48">
        <f t="shared" si="0"/>
        <v>1.8964288787637766E-4</v>
      </c>
      <c r="J42" s="73"/>
      <c r="N42" s="41"/>
    </row>
    <row r="43" spans="1:14" s="40" customFormat="1" ht="18" x14ac:dyDescent="0.25">
      <c r="A43" s="50" t="s">
        <v>98</v>
      </c>
      <c r="B43" s="76" t="s">
        <v>99</v>
      </c>
      <c r="C43" s="52" t="s">
        <v>100</v>
      </c>
      <c r="D43" s="53" t="s">
        <v>52</v>
      </c>
      <c r="E43" s="54">
        <v>50</v>
      </c>
      <c r="F43" s="54">
        <v>33.61</v>
      </c>
      <c r="G43" s="75">
        <f t="shared" si="2"/>
        <v>1680.5</v>
      </c>
      <c r="H43" s="48">
        <f t="shared" si="0"/>
        <v>2.4143550990625198E-4</v>
      </c>
      <c r="J43" s="73"/>
      <c r="N43" s="41"/>
    </row>
    <row r="44" spans="1:14" s="40" customFormat="1" ht="18" x14ac:dyDescent="0.25">
      <c r="A44" s="50" t="s">
        <v>101</v>
      </c>
      <c r="B44" s="74" t="s">
        <v>102</v>
      </c>
      <c r="C44" s="52" t="s">
        <v>103</v>
      </c>
      <c r="D44" s="53" t="s">
        <v>66</v>
      </c>
      <c r="E44" s="54">
        <v>20</v>
      </c>
      <c r="F44" s="54">
        <v>191.48</v>
      </c>
      <c r="G44" s="75">
        <f t="shared" si="2"/>
        <v>3829.6</v>
      </c>
      <c r="H44" s="48">
        <f t="shared" si="0"/>
        <v>5.5019424500861805E-4</v>
      </c>
      <c r="J44" s="73"/>
      <c r="N44" s="41"/>
    </row>
    <row r="45" spans="1:14" s="40" customFormat="1" ht="36" x14ac:dyDescent="0.25">
      <c r="A45" s="50" t="s">
        <v>104</v>
      </c>
      <c r="B45" s="74">
        <v>97626</v>
      </c>
      <c r="C45" s="52" t="s">
        <v>105</v>
      </c>
      <c r="D45" s="53" t="s">
        <v>66</v>
      </c>
      <c r="E45" s="54">
        <v>20</v>
      </c>
      <c r="F45" s="54">
        <v>466.67</v>
      </c>
      <c r="G45" s="75">
        <f t="shared" si="2"/>
        <v>9333.4</v>
      </c>
      <c r="H45" s="48">
        <f t="shared" si="0"/>
        <v>1.3409188861404416E-3</v>
      </c>
      <c r="J45" s="73"/>
      <c r="N45" s="41"/>
    </row>
    <row r="46" spans="1:14" s="40" customFormat="1" ht="18" x14ac:dyDescent="0.25">
      <c r="A46" s="50" t="s">
        <v>106</v>
      </c>
      <c r="B46" s="76" t="s">
        <v>107</v>
      </c>
      <c r="C46" s="52" t="s">
        <v>108</v>
      </c>
      <c r="D46" s="53" t="s">
        <v>29</v>
      </c>
      <c r="E46" s="54">
        <v>500</v>
      </c>
      <c r="F46" s="54">
        <v>15.58</v>
      </c>
      <c r="G46" s="75">
        <f t="shared" si="2"/>
        <v>7790</v>
      </c>
      <c r="H46" s="48">
        <f t="shared" si="0"/>
        <v>1.1191803761795318E-3</v>
      </c>
      <c r="J46" s="73"/>
      <c r="N46" s="41"/>
    </row>
    <row r="47" spans="1:14" s="40" customFormat="1" ht="54" x14ac:dyDescent="0.25">
      <c r="A47" s="50" t="s">
        <v>109</v>
      </c>
      <c r="B47" s="76" t="s">
        <v>110</v>
      </c>
      <c r="C47" s="52" t="str">
        <f>UPPER("Remoção, lavagem, e recolocação de telhas cerâmicas, tipo colonial, de olaria, com fixação através de arame de cobre nº12")</f>
        <v>REMOÇÃO, LAVAGEM, E RECOLOCAÇÃO DE TELHAS CERÂMICAS, TIPO COLONIAL, DE OLARIA, COM FIXAÇÃO ATRAVÉS DE ARAME DE COBRE Nº12</v>
      </c>
      <c r="D47" s="53" t="s">
        <v>29</v>
      </c>
      <c r="E47" s="54">
        <v>500</v>
      </c>
      <c r="F47" s="54">
        <v>41.97</v>
      </c>
      <c r="G47" s="75">
        <f t="shared" si="2"/>
        <v>20985</v>
      </c>
      <c r="H47" s="48">
        <f t="shared" si="0"/>
        <v>3.0148909106710491E-3</v>
      </c>
      <c r="J47" s="73"/>
      <c r="N47" s="41"/>
    </row>
    <row r="48" spans="1:14" s="40" customFormat="1" ht="18" x14ac:dyDescent="0.25">
      <c r="A48" s="50" t="s">
        <v>111</v>
      </c>
      <c r="B48" s="76" t="s">
        <v>112</v>
      </c>
      <c r="C48" s="52" t="s">
        <v>113</v>
      </c>
      <c r="D48" s="53" t="s">
        <v>29</v>
      </c>
      <c r="E48" s="54">
        <v>2000</v>
      </c>
      <c r="F48" s="54">
        <v>5.09</v>
      </c>
      <c r="G48" s="75">
        <f t="shared" si="2"/>
        <v>10180</v>
      </c>
      <c r="H48" s="48">
        <f t="shared" si="0"/>
        <v>1.4625489383193367E-3</v>
      </c>
      <c r="J48" s="73"/>
      <c r="N48" s="41"/>
    </row>
    <row r="49" spans="1:14" s="40" customFormat="1" ht="18" x14ac:dyDescent="0.25">
      <c r="A49" s="50" t="s">
        <v>114</v>
      </c>
      <c r="B49" s="74" t="s">
        <v>115</v>
      </c>
      <c r="C49" s="52" t="s">
        <v>116</v>
      </c>
      <c r="D49" s="53" t="s">
        <v>29</v>
      </c>
      <c r="E49" s="54">
        <v>1000</v>
      </c>
      <c r="F49" s="54">
        <v>14.69</v>
      </c>
      <c r="G49" s="75">
        <f t="shared" si="2"/>
        <v>14690</v>
      </c>
      <c r="H49" s="48">
        <f t="shared" si="0"/>
        <v>2.1104954718969603E-3</v>
      </c>
      <c r="J49" s="73"/>
      <c r="N49" s="41"/>
    </row>
    <row r="50" spans="1:14" s="40" customFormat="1" ht="36" x14ac:dyDescent="0.25">
      <c r="A50" s="50" t="s">
        <v>117</v>
      </c>
      <c r="B50" s="74">
        <v>97631</v>
      </c>
      <c r="C50" s="52" t="s">
        <v>118</v>
      </c>
      <c r="D50" s="53" t="s">
        <v>29</v>
      </c>
      <c r="E50" s="54">
        <v>1000</v>
      </c>
      <c r="F50" s="54">
        <v>2.64</v>
      </c>
      <c r="G50" s="75">
        <f t="shared" si="2"/>
        <v>2640</v>
      </c>
      <c r="H50" s="48">
        <f t="shared" si="0"/>
        <v>3.7928577575275531E-4</v>
      </c>
      <c r="J50" s="73"/>
      <c r="N50" s="41"/>
    </row>
    <row r="51" spans="1:14" s="40" customFormat="1" ht="18" x14ac:dyDescent="0.25">
      <c r="A51" s="50" t="s">
        <v>119</v>
      </c>
      <c r="B51" s="74" t="s">
        <v>120</v>
      </c>
      <c r="C51" s="52" t="s">
        <v>121</v>
      </c>
      <c r="D51" s="53" t="s">
        <v>29</v>
      </c>
      <c r="E51" s="54">
        <v>1000</v>
      </c>
      <c r="F51" s="54">
        <v>3.91</v>
      </c>
      <c r="G51" s="75">
        <f t="shared" si="2"/>
        <v>3910</v>
      </c>
      <c r="H51" s="48">
        <f t="shared" si="0"/>
        <v>5.6174522090654284E-4</v>
      </c>
      <c r="J51" s="73"/>
      <c r="N51" s="41"/>
    </row>
    <row r="52" spans="1:14" s="40" customFormat="1" ht="18" x14ac:dyDescent="0.25">
      <c r="A52" s="50" t="s">
        <v>122</v>
      </c>
      <c r="B52" s="74" t="s">
        <v>123</v>
      </c>
      <c r="C52" s="52" t="s">
        <v>124</v>
      </c>
      <c r="D52" s="53" t="s">
        <v>29</v>
      </c>
      <c r="E52" s="54">
        <v>300</v>
      </c>
      <c r="F52" s="54">
        <v>11.74</v>
      </c>
      <c r="G52" s="75">
        <f t="shared" si="2"/>
        <v>3522</v>
      </c>
      <c r="H52" s="48">
        <f t="shared" si="0"/>
        <v>5.0600170537924401E-4</v>
      </c>
      <c r="J52" s="73"/>
      <c r="N52" s="41"/>
    </row>
    <row r="53" spans="1:14" s="40" customFormat="1" ht="18" x14ac:dyDescent="0.25">
      <c r="A53" s="50" t="s">
        <v>125</v>
      </c>
      <c r="B53" s="74">
        <v>85421</v>
      </c>
      <c r="C53" s="52" t="s">
        <v>126</v>
      </c>
      <c r="D53" s="53" t="s">
        <v>29</v>
      </c>
      <c r="E53" s="54">
        <v>200</v>
      </c>
      <c r="F53" s="54">
        <v>12.52</v>
      </c>
      <c r="G53" s="75">
        <f t="shared" si="2"/>
        <v>2504</v>
      </c>
      <c r="H53" s="48">
        <f t="shared" si="0"/>
        <v>3.5974681154731035E-4</v>
      </c>
      <c r="J53" s="73"/>
      <c r="N53" s="41"/>
    </row>
    <row r="54" spans="1:14" s="40" customFormat="1" ht="18" x14ac:dyDescent="0.25">
      <c r="A54" s="50" t="s">
        <v>127</v>
      </c>
      <c r="B54" s="76">
        <v>97633</v>
      </c>
      <c r="C54" s="52" t="s">
        <v>128</v>
      </c>
      <c r="D54" s="53" t="s">
        <v>29</v>
      </c>
      <c r="E54" s="54">
        <v>500</v>
      </c>
      <c r="F54" s="54">
        <v>18.440000000000001</v>
      </c>
      <c r="G54" s="75">
        <f t="shared" si="2"/>
        <v>9220</v>
      </c>
      <c r="H54" s="48">
        <f t="shared" si="0"/>
        <v>1.3246268380456075E-3</v>
      </c>
      <c r="J54" s="73"/>
      <c r="N54" s="41"/>
    </row>
    <row r="55" spans="1:14" s="40" customFormat="1" ht="18" x14ac:dyDescent="0.25">
      <c r="A55" s="50" t="s">
        <v>129</v>
      </c>
      <c r="B55" s="76" t="s">
        <v>130</v>
      </c>
      <c r="C55" s="52" t="s">
        <v>131</v>
      </c>
      <c r="D55" s="53" t="s">
        <v>29</v>
      </c>
      <c r="E55" s="54">
        <v>1500</v>
      </c>
      <c r="F55" s="54">
        <v>5.22</v>
      </c>
      <c r="G55" s="75">
        <f t="shared" si="2"/>
        <v>7830</v>
      </c>
      <c r="H55" s="48">
        <f t="shared" si="0"/>
        <v>1.1249271303576038E-3</v>
      </c>
      <c r="J55" s="73"/>
      <c r="N55" s="41"/>
    </row>
    <row r="56" spans="1:14" s="40" customFormat="1" ht="18" x14ac:dyDescent="0.25">
      <c r="A56" s="50" t="s">
        <v>132</v>
      </c>
      <c r="B56" s="74" t="s">
        <v>133</v>
      </c>
      <c r="C56" s="52" t="s">
        <v>134</v>
      </c>
      <c r="D56" s="53" t="s">
        <v>29</v>
      </c>
      <c r="E56" s="54">
        <v>500</v>
      </c>
      <c r="F56" s="54">
        <v>3.91</v>
      </c>
      <c r="G56" s="75">
        <f t="shared" si="2"/>
        <v>1955</v>
      </c>
      <c r="H56" s="48">
        <f t="shared" si="0"/>
        <v>2.8087261045327142E-4</v>
      </c>
      <c r="J56" s="73"/>
      <c r="N56" s="41"/>
    </row>
    <row r="57" spans="1:14" s="40" customFormat="1" ht="18" x14ac:dyDescent="0.25">
      <c r="A57" s="50" t="s">
        <v>135</v>
      </c>
      <c r="B57" s="76" t="s">
        <v>136</v>
      </c>
      <c r="C57" s="52" t="s">
        <v>137</v>
      </c>
      <c r="D57" s="53" t="s">
        <v>29</v>
      </c>
      <c r="E57" s="54">
        <v>200</v>
      </c>
      <c r="F57" s="54">
        <v>17.63</v>
      </c>
      <c r="G57" s="75">
        <f t="shared" si="2"/>
        <v>3526</v>
      </c>
      <c r="H57" s="48">
        <f t="shared" si="0"/>
        <v>5.0657638079705124E-4</v>
      </c>
      <c r="J57" s="73"/>
      <c r="N57" s="41"/>
    </row>
    <row r="58" spans="1:14" s="40" customFormat="1" ht="18" x14ac:dyDescent="0.25">
      <c r="A58" s="50" t="s">
        <v>138</v>
      </c>
      <c r="B58" s="76" t="s">
        <v>139</v>
      </c>
      <c r="C58" s="52" t="s">
        <v>140</v>
      </c>
      <c r="D58" s="53" t="s">
        <v>29</v>
      </c>
      <c r="E58" s="54">
        <v>500</v>
      </c>
      <c r="F58" s="54">
        <v>11.98</v>
      </c>
      <c r="G58" s="75">
        <f t="shared" si="2"/>
        <v>5990</v>
      </c>
      <c r="H58" s="48">
        <f t="shared" si="0"/>
        <v>8.6057643816628943E-4</v>
      </c>
      <c r="J58" s="73"/>
      <c r="N58" s="41"/>
    </row>
    <row r="59" spans="1:14" s="40" customFormat="1" ht="36" x14ac:dyDescent="0.25">
      <c r="A59" s="50" t="s">
        <v>141</v>
      </c>
      <c r="B59" s="76" t="s">
        <v>142</v>
      </c>
      <c r="C59" s="52" t="str">
        <f>UPPER("Corte em pavimento de asfalto/concreto, com máquina e disco diamantado - Rev 01")</f>
        <v>CORTE EM PAVIMENTO DE ASFALTO/CONCRETO, COM MÁQUINA E DISCO DIAMANTADO - REV 01</v>
      </c>
      <c r="D59" s="53" t="s">
        <v>38</v>
      </c>
      <c r="E59" s="54">
        <v>500</v>
      </c>
      <c r="F59" s="54">
        <v>14.26</v>
      </c>
      <c r="G59" s="75">
        <f t="shared" si="2"/>
        <v>7130</v>
      </c>
      <c r="H59" s="48">
        <f t="shared" si="0"/>
        <v>1.0243589322413429E-3</v>
      </c>
      <c r="J59" s="73"/>
      <c r="N59" s="41"/>
    </row>
    <row r="60" spans="1:14" s="40" customFormat="1" ht="36" x14ac:dyDescent="0.25">
      <c r="A60" s="50" t="s">
        <v>143</v>
      </c>
      <c r="B60" s="74">
        <v>97637</v>
      </c>
      <c r="C60" s="52" t="s">
        <v>144</v>
      </c>
      <c r="D60" s="53" t="s">
        <v>29</v>
      </c>
      <c r="E60" s="54">
        <v>250</v>
      </c>
      <c r="F60" s="54">
        <v>2.63</v>
      </c>
      <c r="G60" s="75">
        <f t="shared" si="2"/>
        <v>657.5</v>
      </c>
      <c r="H60" s="48">
        <f t="shared" si="0"/>
        <v>9.4462271802059326E-5</v>
      </c>
      <c r="J60" s="73"/>
      <c r="N60" s="41"/>
    </row>
    <row r="61" spans="1:14" s="40" customFormat="1" ht="18" x14ac:dyDescent="0.25">
      <c r="A61" s="50" t="s">
        <v>145</v>
      </c>
      <c r="B61" s="82" t="s">
        <v>146</v>
      </c>
      <c r="C61" s="78" t="s">
        <v>147</v>
      </c>
      <c r="D61" s="53" t="s">
        <v>148</v>
      </c>
      <c r="E61" s="55">
        <v>80</v>
      </c>
      <c r="F61" s="55">
        <v>11.74</v>
      </c>
      <c r="G61" s="75">
        <f t="shared" si="2"/>
        <v>939.2</v>
      </c>
      <c r="H61" s="48">
        <f t="shared" si="0"/>
        <v>1.3493378810113175E-4</v>
      </c>
      <c r="J61" s="73"/>
      <c r="N61" s="41"/>
    </row>
    <row r="62" spans="1:14" s="40" customFormat="1" ht="18" x14ac:dyDescent="0.25">
      <c r="A62" s="50" t="s">
        <v>149</v>
      </c>
      <c r="B62" s="82" t="s">
        <v>150</v>
      </c>
      <c r="C62" s="78" t="s">
        <v>151</v>
      </c>
      <c r="D62" s="53" t="s">
        <v>152</v>
      </c>
      <c r="E62" s="55">
        <v>460</v>
      </c>
      <c r="F62" s="55">
        <v>4.55</v>
      </c>
      <c r="G62" s="75">
        <f t="shared" si="2"/>
        <v>2093</v>
      </c>
      <c r="H62" s="48">
        <f t="shared" si="0"/>
        <v>3.0069891236762E-4</v>
      </c>
      <c r="J62" s="73"/>
      <c r="N62" s="41"/>
    </row>
    <row r="63" spans="1:14" s="40" customFormat="1" ht="54" x14ac:dyDescent="0.25">
      <c r="A63" s="50" t="s">
        <v>153</v>
      </c>
      <c r="B63" s="83">
        <v>97647</v>
      </c>
      <c r="C63" s="84" t="s">
        <v>154</v>
      </c>
      <c r="D63" s="53" t="s">
        <v>29</v>
      </c>
      <c r="E63" s="85">
        <v>70</v>
      </c>
      <c r="F63" s="85">
        <v>2.85</v>
      </c>
      <c r="G63" s="75">
        <f t="shared" si="2"/>
        <v>199.5</v>
      </c>
      <c r="H63" s="48">
        <f t="shared" si="0"/>
        <v>2.8661936463134349E-5</v>
      </c>
      <c r="J63" s="73"/>
      <c r="N63" s="41"/>
    </row>
    <row r="64" spans="1:14" s="40" customFormat="1" ht="36" x14ac:dyDescent="0.25">
      <c r="A64" s="50" t="s">
        <v>155</v>
      </c>
      <c r="B64" s="83" t="s">
        <v>156</v>
      </c>
      <c r="C64" s="84" t="s">
        <v>157</v>
      </c>
      <c r="D64" s="53" t="s">
        <v>29</v>
      </c>
      <c r="E64" s="85">
        <v>500</v>
      </c>
      <c r="F64" s="85">
        <v>3.87</v>
      </c>
      <c r="G64" s="75">
        <f t="shared" si="2"/>
        <v>1935</v>
      </c>
      <c r="H64" s="48">
        <f t="shared" si="0"/>
        <v>2.779992333642354E-4</v>
      </c>
      <c r="J64" s="73"/>
      <c r="N64" s="41"/>
    </row>
    <row r="65" spans="1:14" s="40" customFormat="1" ht="18" x14ac:dyDescent="0.25">
      <c r="A65" s="50" t="s">
        <v>158</v>
      </c>
      <c r="B65" s="83" t="s">
        <v>159</v>
      </c>
      <c r="C65" s="84" t="s">
        <v>160</v>
      </c>
      <c r="D65" s="86" t="s">
        <v>38</v>
      </c>
      <c r="E65" s="85">
        <v>50</v>
      </c>
      <c r="F65" s="85">
        <v>7.79</v>
      </c>
      <c r="G65" s="75">
        <f t="shared" si="2"/>
        <v>389.5</v>
      </c>
      <c r="H65" s="48"/>
      <c r="J65" s="73"/>
      <c r="N65" s="41"/>
    </row>
    <row r="66" spans="1:14" s="40" customFormat="1" ht="36" x14ac:dyDescent="0.25">
      <c r="A66" s="50" t="s">
        <v>161</v>
      </c>
      <c r="B66" s="82" t="s">
        <v>162</v>
      </c>
      <c r="C66" s="78" t="s">
        <v>163</v>
      </c>
      <c r="D66" s="69" t="s">
        <v>164</v>
      </c>
      <c r="E66" s="55">
        <v>50</v>
      </c>
      <c r="F66" s="55">
        <v>45.63</v>
      </c>
      <c r="G66" s="75">
        <f t="shared" si="2"/>
        <v>2281.5</v>
      </c>
      <c r="H66" s="48">
        <f t="shared" ref="H66:H129" si="3">G66/$G$602</f>
        <v>3.2778049143178454E-4</v>
      </c>
      <c r="J66" s="73"/>
      <c r="N66" s="41"/>
    </row>
    <row r="67" spans="1:14" s="40" customFormat="1" ht="36" x14ac:dyDescent="0.25">
      <c r="A67" s="50" t="s">
        <v>165</v>
      </c>
      <c r="B67" s="74">
        <v>100205</v>
      </c>
      <c r="C67" s="78" t="s">
        <v>166</v>
      </c>
      <c r="D67" s="69" t="s">
        <v>167</v>
      </c>
      <c r="E67" s="55">
        <f>1000*20/1000</f>
        <v>20</v>
      </c>
      <c r="F67" s="55">
        <v>1138.6600000000001</v>
      </c>
      <c r="G67" s="75">
        <f t="shared" si="2"/>
        <v>22773.200000000001</v>
      </c>
      <c r="H67" s="48">
        <f t="shared" si="3"/>
        <v>3.2717995562017601E-3</v>
      </c>
      <c r="J67" s="73"/>
      <c r="N67" s="41"/>
    </row>
    <row r="68" spans="1:14" s="40" customFormat="1" ht="36" x14ac:dyDescent="0.25">
      <c r="A68" s="50" t="s">
        <v>168</v>
      </c>
      <c r="B68" s="74">
        <v>72897</v>
      </c>
      <c r="C68" s="78" t="s">
        <v>169</v>
      </c>
      <c r="D68" s="69" t="s">
        <v>66</v>
      </c>
      <c r="E68" s="55">
        <v>1000</v>
      </c>
      <c r="F68" s="55">
        <v>21.94</v>
      </c>
      <c r="G68" s="75">
        <f t="shared" si="2"/>
        <v>21940</v>
      </c>
      <c r="H68" s="48">
        <f t="shared" si="3"/>
        <v>3.1520946666725195E-3</v>
      </c>
      <c r="J68" s="73"/>
      <c r="N68" s="41"/>
    </row>
    <row r="69" spans="1:14" s="40" customFormat="1" ht="54.75" thickBot="1" x14ac:dyDescent="0.3">
      <c r="A69" s="50" t="s">
        <v>170</v>
      </c>
      <c r="B69" s="87">
        <v>97914</v>
      </c>
      <c r="C69" s="88" t="s">
        <v>171</v>
      </c>
      <c r="D69" s="89" t="s">
        <v>167</v>
      </c>
      <c r="E69" s="54">
        <f>E68*20</f>
        <v>20000</v>
      </c>
      <c r="F69" s="54">
        <v>1.77</v>
      </c>
      <c r="G69" s="75">
        <f t="shared" si="2"/>
        <v>35400</v>
      </c>
      <c r="H69" s="48">
        <f t="shared" si="3"/>
        <v>5.0858774475937641E-3</v>
      </c>
      <c r="J69" s="73"/>
      <c r="N69" s="41"/>
    </row>
    <row r="70" spans="1:14" s="40" customFormat="1" ht="18.75" thickBot="1" x14ac:dyDescent="0.3">
      <c r="A70" s="42">
        <v>3</v>
      </c>
      <c r="B70" s="90"/>
      <c r="C70" s="71" t="s">
        <v>172</v>
      </c>
      <c r="D70" s="91"/>
      <c r="E70" s="92"/>
      <c r="F70" s="93"/>
      <c r="G70" s="72">
        <f>SUM(G71:G90)</f>
        <v>404911.8</v>
      </c>
      <c r="H70" s="48">
        <f t="shared" si="3"/>
        <v>5.8173214460016852E-2</v>
      </c>
      <c r="N70" s="41"/>
    </row>
    <row r="71" spans="1:14" s="40" customFormat="1" ht="90" x14ac:dyDescent="0.25">
      <c r="A71" s="94" t="s">
        <v>173</v>
      </c>
      <c r="B71" s="82">
        <v>89168</v>
      </c>
      <c r="C71" s="68" t="s">
        <v>174</v>
      </c>
      <c r="D71" s="69" t="s">
        <v>29</v>
      </c>
      <c r="E71" s="55">
        <v>400</v>
      </c>
      <c r="F71" s="55">
        <v>72.81</v>
      </c>
      <c r="G71" s="95">
        <f>F71*E71</f>
        <v>29124</v>
      </c>
      <c r="H71" s="48">
        <f t="shared" si="3"/>
        <v>4.1842117170542599E-3</v>
      </c>
      <c r="N71" s="41"/>
    </row>
    <row r="72" spans="1:14" s="40" customFormat="1" ht="90" x14ac:dyDescent="0.25">
      <c r="A72" s="94" t="s">
        <v>175</v>
      </c>
      <c r="B72" s="82">
        <v>89977</v>
      </c>
      <c r="C72" s="68" t="s">
        <v>176</v>
      </c>
      <c r="D72" s="69" t="s">
        <v>29</v>
      </c>
      <c r="E72" s="96">
        <v>500</v>
      </c>
      <c r="F72" s="55">
        <v>129.71</v>
      </c>
      <c r="G72" s="95">
        <f t="shared" ref="G72:G90" si="4">F72*E72</f>
        <v>64855.000000000007</v>
      </c>
      <c r="H72" s="48">
        <f t="shared" si="3"/>
        <v>9.3176435554715702E-3</v>
      </c>
      <c r="N72" s="41"/>
    </row>
    <row r="73" spans="1:14" s="40" customFormat="1" ht="90" x14ac:dyDescent="0.25">
      <c r="A73" s="94" t="s">
        <v>177</v>
      </c>
      <c r="B73" s="82">
        <v>87454</v>
      </c>
      <c r="C73" s="97" t="s">
        <v>178</v>
      </c>
      <c r="D73" s="69" t="s">
        <v>29</v>
      </c>
      <c r="E73" s="55">
        <v>500</v>
      </c>
      <c r="F73" s="55">
        <v>44.57</v>
      </c>
      <c r="G73" s="95">
        <f t="shared" si="4"/>
        <v>22285</v>
      </c>
      <c r="H73" s="48">
        <f t="shared" si="3"/>
        <v>3.2016604214583906E-3</v>
      </c>
      <c r="N73" s="41"/>
    </row>
    <row r="74" spans="1:14" s="40" customFormat="1" ht="36" x14ac:dyDescent="0.25">
      <c r="A74" s="94" t="s">
        <v>179</v>
      </c>
      <c r="B74" s="82">
        <v>89453</v>
      </c>
      <c r="C74" s="68" t="s">
        <v>180</v>
      </c>
      <c r="D74" s="69" t="s">
        <v>29</v>
      </c>
      <c r="E74" s="96">
        <v>500</v>
      </c>
      <c r="F74" s="55">
        <v>51.59</v>
      </c>
      <c r="G74" s="95">
        <f t="shared" si="4"/>
        <v>25795</v>
      </c>
      <c r="H74" s="48">
        <f t="shared" si="3"/>
        <v>3.705938100584213E-3</v>
      </c>
      <c r="N74" s="41"/>
    </row>
    <row r="75" spans="1:14" s="40" customFormat="1" ht="36" x14ac:dyDescent="0.25">
      <c r="A75" s="94" t="s">
        <v>181</v>
      </c>
      <c r="B75" s="82">
        <v>93182</v>
      </c>
      <c r="C75" s="68" t="s">
        <v>182</v>
      </c>
      <c r="D75" s="69" t="s">
        <v>38</v>
      </c>
      <c r="E75" s="96">
        <v>200</v>
      </c>
      <c r="F75" s="55">
        <v>26.69</v>
      </c>
      <c r="G75" s="95">
        <f t="shared" si="4"/>
        <v>5338</v>
      </c>
      <c r="H75" s="48">
        <f t="shared" si="3"/>
        <v>7.6690434506371502E-4</v>
      </c>
      <c r="N75" s="41"/>
    </row>
    <row r="76" spans="1:14" s="40" customFormat="1" ht="36" x14ac:dyDescent="0.25">
      <c r="A76" s="94" t="s">
        <v>183</v>
      </c>
      <c r="B76" s="82">
        <v>93184</v>
      </c>
      <c r="C76" s="68" t="s">
        <v>184</v>
      </c>
      <c r="D76" s="69" t="s">
        <v>38</v>
      </c>
      <c r="E76" s="55">
        <v>200</v>
      </c>
      <c r="F76" s="55">
        <v>20.55</v>
      </c>
      <c r="G76" s="95">
        <f t="shared" si="4"/>
        <v>4110</v>
      </c>
      <c r="H76" s="48">
        <f t="shared" si="3"/>
        <v>5.9047899179690314E-4</v>
      </c>
      <c r="N76" s="41"/>
    </row>
    <row r="77" spans="1:14" s="40" customFormat="1" ht="36" x14ac:dyDescent="0.25">
      <c r="A77" s="94" t="s">
        <v>185</v>
      </c>
      <c r="B77" s="98" t="s">
        <v>186</v>
      </c>
      <c r="C77" s="68" t="s">
        <v>187</v>
      </c>
      <c r="D77" s="69" t="s">
        <v>38</v>
      </c>
      <c r="E77" s="55">
        <v>200</v>
      </c>
      <c r="F77" s="55">
        <v>32.68</v>
      </c>
      <c r="G77" s="95">
        <f t="shared" si="4"/>
        <v>6536</v>
      </c>
      <c r="H77" s="48">
        <f t="shared" si="3"/>
        <v>9.3901963269697297E-4</v>
      </c>
      <c r="N77" s="41"/>
    </row>
    <row r="78" spans="1:14" s="40" customFormat="1" ht="36" x14ac:dyDescent="0.25">
      <c r="A78" s="94" t="s">
        <v>188</v>
      </c>
      <c r="B78" s="98" t="s">
        <v>189</v>
      </c>
      <c r="C78" s="68" t="s">
        <v>190</v>
      </c>
      <c r="D78" s="69" t="s">
        <v>38</v>
      </c>
      <c r="E78" s="55">
        <v>100</v>
      </c>
      <c r="F78" s="55">
        <v>31.2</v>
      </c>
      <c r="G78" s="95">
        <f t="shared" si="4"/>
        <v>3120</v>
      </c>
      <c r="H78" s="48">
        <f t="shared" si="3"/>
        <v>4.4824682588961989E-4</v>
      </c>
      <c r="N78" s="41"/>
    </row>
    <row r="79" spans="1:14" s="40" customFormat="1" ht="36" x14ac:dyDescent="0.25">
      <c r="A79" s="94" t="s">
        <v>191</v>
      </c>
      <c r="B79" s="82">
        <v>93200</v>
      </c>
      <c r="C79" s="68" t="s">
        <v>192</v>
      </c>
      <c r="D79" s="69" t="s">
        <v>38</v>
      </c>
      <c r="E79" s="55">
        <v>800</v>
      </c>
      <c r="F79" s="55">
        <v>2.69</v>
      </c>
      <c r="G79" s="95">
        <f t="shared" si="4"/>
        <v>2152</v>
      </c>
      <c r="H79" s="48">
        <f t="shared" si="3"/>
        <v>3.0917537478027628E-4</v>
      </c>
      <c r="N79" s="41"/>
    </row>
    <row r="80" spans="1:14" s="40" customFormat="1" ht="36" x14ac:dyDescent="0.25">
      <c r="A80" s="94" t="s">
        <v>193</v>
      </c>
      <c r="B80" s="76" t="s">
        <v>194</v>
      </c>
      <c r="C80" s="68" t="str">
        <f>UPPER("Divisória em granito cinza andorinha polido, e=2cm, inclusive montagem com ferragens - Rev 02")</f>
        <v>DIVISÓRIA EM GRANITO CINZA ANDORINHA POLIDO, E=2CM, INCLUSIVE MONTAGEM COM FERRAGENS - REV 02</v>
      </c>
      <c r="D80" s="69" t="s">
        <v>29</v>
      </c>
      <c r="E80" s="55">
        <v>50</v>
      </c>
      <c r="F80" s="55">
        <v>404.22</v>
      </c>
      <c r="G80" s="95">
        <f t="shared" si="4"/>
        <v>20211</v>
      </c>
      <c r="H80" s="48">
        <f t="shared" si="3"/>
        <v>2.9036912173253551E-3</v>
      </c>
      <c r="N80" s="41"/>
    </row>
    <row r="81" spans="1:14" s="40" customFormat="1" ht="36" x14ac:dyDescent="0.25">
      <c r="A81" s="94" t="s">
        <v>195</v>
      </c>
      <c r="B81" s="76" t="s">
        <v>196</v>
      </c>
      <c r="C81" s="68" t="str">
        <f>UPPER("Parede de gesso acartonado - Dry-Wall - chapa RU - esp. 12,5mm sistemas lafarge gypsum (ou similar)")</f>
        <v>PAREDE DE GESSO ACARTONADO - DRY-WALL - CHAPA RU - ESP. 12,5MM SISTEMAS LAFARGE GYPSUM (OU SIMILAR)</v>
      </c>
      <c r="D81" s="69" t="s">
        <v>29</v>
      </c>
      <c r="E81" s="55">
        <v>100</v>
      </c>
      <c r="F81" s="55">
        <v>146.41999999999999</v>
      </c>
      <c r="G81" s="95">
        <f t="shared" si="4"/>
        <v>14641.999999999998</v>
      </c>
      <c r="H81" s="48">
        <f t="shared" si="3"/>
        <v>2.1035993668832736E-3</v>
      </c>
      <c r="N81" s="41"/>
    </row>
    <row r="82" spans="1:14" s="40" customFormat="1" ht="36" x14ac:dyDescent="0.25">
      <c r="A82" s="94" t="s">
        <v>197</v>
      </c>
      <c r="B82" s="76" t="s">
        <v>198</v>
      </c>
      <c r="C82" s="68" t="str">
        <f>UPPER("Parede de gesso acartonado - dry - wall d 95/70/60 1 st/1st 12,5mm sistemas lafarge gypsum ou similar")</f>
        <v>PAREDE DE GESSO ACARTONADO - DRY - WALL D 95/70/60 1 ST/1ST 12,5MM SISTEMAS LAFARGE GYPSUM OU SIMILAR</v>
      </c>
      <c r="D82" s="69" t="s">
        <v>29</v>
      </c>
      <c r="E82" s="55">
        <v>300</v>
      </c>
      <c r="F82" s="55">
        <v>90</v>
      </c>
      <c r="G82" s="95">
        <f t="shared" si="4"/>
        <v>27000</v>
      </c>
      <c r="H82" s="48">
        <f t="shared" si="3"/>
        <v>3.8790590701986336E-3</v>
      </c>
      <c r="N82" s="41"/>
    </row>
    <row r="83" spans="1:14" s="40" customFormat="1" ht="36" customHeight="1" x14ac:dyDescent="0.25">
      <c r="A83" s="94" t="s">
        <v>199</v>
      </c>
      <c r="B83" s="77">
        <v>2414</v>
      </c>
      <c r="C83" s="68" t="str">
        <f>UPPER("Divisoria - painel com vidro, e=40mm, com perfis em alumínio, Divilux ou similar - fornecimento e aplicação")</f>
        <v>DIVISORIA - PAINEL COM VIDRO, E=40MM, COM PERFIS EM ALUMÍNIO, DIVILUX OU SIMILAR - FORNECIMENTO E APLICAÇÃO</v>
      </c>
      <c r="D83" s="69" t="s">
        <v>29</v>
      </c>
      <c r="E83" s="55">
        <v>250</v>
      </c>
      <c r="F83" s="55">
        <v>129.55000000000001</v>
      </c>
      <c r="G83" s="95">
        <f t="shared" si="4"/>
        <v>32387.500000000004</v>
      </c>
      <c r="H83" s="48">
        <f t="shared" si="3"/>
        <v>4.6530750235577135E-3</v>
      </c>
      <c r="N83" s="41"/>
    </row>
    <row r="84" spans="1:14" s="40" customFormat="1" ht="36" x14ac:dyDescent="0.25">
      <c r="A84" s="94" t="s">
        <v>200</v>
      </c>
      <c r="B84" s="77">
        <v>2417</v>
      </c>
      <c r="C84" s="68" t="str">
        <f>UPPER("Divisória Divilux (painel cego), e=40mm, com perfis em alumínio ou similar - fornecimento")</f>
        <v>DIVISÓRIA DIVILUX (PAINEL CEGO), E=40MM, COM PERFIS EM ALUMÍNIO OU SIMILAR - FORNECIMENTO</v>
      </c>
      <c r="D84" s="69" t="s">
        <v>29</v>
      </c>
      <c r="E84" s="55">
        <v>300</v>
      </c>
      <c r="F84" s="55">
        <v>131.19999999999999</v>
      </c>
      <c r="G84" s="95">
        <f t="shared" si="4"/>
        <v>39360</v>
      </c>
      <c r="H84" s="48">
        <f t="shared" si="3"/>
        <v>5.6548061112228973E-3</v>
      </c>
      <c r="N84" s="41"/>
    </row>
    <row r="85" spans="1:14" s="40" customFormat="1" ht="18" x14ac:dyDescent="0.25">
      <c r="A85" s="94" t="s">
        <v>201</v>
      </c>
      <c r="B85" s="77" t="s">
        <v>202</v>
      </c>
      <c r="C85" s="68" t="s">
        <v>203</v>
      </c>
      <c r="D85" s="69" t="s">
        <v>29</v>
      </c>
      <c r="E85" s="55">
        <v>100</v>
      </c>
      <c r="F85" s="55">
        <v>81.72</v>
      </c>
      <c r="G85" s="95">
        <f t="shared" si="4"/>
        <v>8172</v>
      </c>
      <c r="H85" s="48">
        <f t="shared" si="3"/>
        <v>1.1740618785801198E-3</v>
      </c>
      <c r="N85" s="41"/>
    </row>
    <row r="86" spans="1:14" s="40" customFormat="1" ht="18" x14ac:dyDescent="0.25">
      <c r="A86" s="94" t="s">
        <v>204</v>
      </c>
      <c r="B86" s="77" t="s">
        <v>205</v>
      </c>
      <c r="C86" s="68" t="s">
        <v>206</v>
      </c>
      <c r="D86" s="69" t="s">
        <v>29</v>
      </c>
      <c r="E86" s="55">
        <v>100</v>
      </c>
      <c r="F86" s="55">
        <v>107.7</v>
      </c>
      <c r="G86" s="95">
        <f t="shared" si="4"/>
        <v>10770</v>
      </c>
      <c r="H86" s="48">
        <f t="shared" si="3"/>
        <v>1.5473135624458993E-3</v>
      </c>
      <c r="N86" s="41"/>
    </row>
    <row r="87" spans="1:14" s="40" customFormat="1" ht="54" x14ac:dyDescent="0.25">
      <c r="A87" s="94" t="s">
        <v>207</v>
      </c>
      <c r="B87" s="77" t="s">
        <v>208</v>
      </c>
      <c r="C87" s="99" t="str">
        <f>UPPER("Cobogó de vidro (veneziana) 20 x 10 x 10cm, assentado com argamassa cimento e areia (traço 1:3)")</f>
        <v>COBOGÓ DE VIDRO (VENEZIANA) 20 X 10 X 10CM, ASSENTADO COM ARGAMASSA CIMENTO E AREIA (TRAÇO 1:3)</v>
      </c>
      <c r="D87" s="100" t="s">
        <v>29</v>
      </c>
      <c r="E87" s="55">
        <v>10</v>
      </c>
      <c r="F87" s="55">
        <v>995.48</v>
      </c>
      <c r="G87" s="95">
        <f t="shared" si="4"/>
        <v>9954.7999999999993</v>
      </c>
      <c r="H87" s="48">
        <f t="shared" si="3"/>
        <v>1.4301947122967909E-3</v>
      </c>
      <c r="N87" s="41"/>
    </row>
    <row r="88" spans="1:14" s="40" customFormat="1" ht="54" x14ac:dyDescent="0.25">
      <c r="A88" s="94" t="s">
        <v>209</v>
      </c>
      <c r="B88" s="82" t="s">
        <v>210</v>
      </c>
      <c r="C88" s="99" t="str">
        <f>UPPER("Alvenaria pedra calcárea aparente argamassada no traço 1:5 - 1 saco cimento 50kg / 5 padiolas areia dim. 0,35z0,45x0,23m - Confecção mecânica e transporte")</f>
        <v>ALVENARIA PEDRA CALCÁREA APARENTE ARGAMASSADA NO TRAÇO 1:5 - 1 SACO CIMENTO 50KG / 5 PADIOLAS AREIA DIM. 0,35Z0,45X0,23M - CONFECÇÃO MECÂNICA E TRANSPORTE</v>
      </c>
      <c r="D88" s="100" t="s">
        <v>66</v>
      </c>
      <c r="E88" s="55">
        <v>50</v>
      </c>
      <c r="F88" s="55">
        <v>384.03</v>
      </c>
      <c r="G88" s="95">
        <f t="shared" si="4"/>
        <v>19201.5</v>
      </c>
      <c r="H88" s="48">
        <f t="shared" si="3"/>
        <v>2.7586575087562618E-3</v>
      </c>
      <c r="N88" s="41"/>
    </row>
    <row r="89" spans="1:14" s="40" customFormat="1" ht="36" x14ac:dyDescent="0.25">
      <c r="A89" s="94" t="s">
        <v>211</v>
      </c>
      <c r="B89" s="82">
        <v>101165</v>
      </c>
      <c r="C89" s="99" t="s">
        <v>212</v>
      </c>
      <c r="D89" s="100" t="s">
        <v>66</v>
      </c>
      <c r="E89" s="55">
        <v>50</v>
      </c>
      <c r="F89" s="55">
        <v>624.16</v>
      </c>
      <c r="G89" s="95">
        <f t="shared" si="4"/>
        <v>31208</v>
      </c>
      <c r="H89" s="48">
        <f t="shared" si="3"/>
        <v>4.4836176097318133E-3</v>
      </c>
      <c r="N89" s="41"/>
    </row>
    <row r="90" spans="1:14" s="40" customFormat="1" ht="18.75" thickBot="1" x14ac:dyDescent="0.3">
      <c r="A90" s="94" t="s">
        <v>213</v>
      </c>
      <c r="B90" s="83">
        <v>72178</v>
      </c>
      <c r="C90" s="101" t="s">
        <v>214</v>
      </c>
      <c r="D90" s="102" t="s">
        <v>148</v>
      </c>
      <c r="E90" s="85">
        <v>1000</v>
      </c>
      <c r="F90" s="85">
        <v>28.69</v>
      </c>
      <c r="G90" s="95">
        <f t="shared" si="4"/>
        <v>28690</v>
      </c>
      <c r="H90" s="48">
        <f t="shared" si="3"/>
        <v>4.1218594342221776E-3</v>
      </c>
      <c r="N90" s="41"/>
    </row>
    <row r="91" spans="1:14" s="40" customFormat="1" ht="18.75" thickBot="1" x14ac:dyDescent="0.3">
      <c r="A91" s="42">
        <v>4</v>
      </c>
      <c r="B91" s="90"/>
      <c r="C91" s="71" t="s">
        <v>215</v>
      </c>
      <c r="D91" s="91"/>
      <c r="E91" s="92"/>
      <c r="F91" s="71"/>
      <c r="G91" s="72">
        <f>SUM(G92:G126)</f>
        <v>451686.49999999994</v>
      </c>
      <c r="H91" s="48">
        <f t="shared" si="3"/>
        <v>6.4893282026343521E-2</v>
      </c>
      <c r="N91" s="41"/>
    </row>
    <row r="92" spans="1:14" s="40" customFormat="1" ht="72" x14ac:dyDescent="0.25">
      <c r="A92" s="94" t="s">
        <v>216</v>
      </c>
      <c r="B92" s="81">
        <v>12704</v>
      </c>
      <c r="C92" s="68" t="str">
        <f>UPPER("Piso vinílico em manta, condutivo, dim. 2,0 x 23,00m, e = 2mm, ref. IQ TORO SC, da Tarkett ou similar - fornecimento e instalação, exclusive regularização do piso")</f>
        <v>PISO VINÍLICO EM MANTA, CONDUTIVO, DIM. 2,0 X 23,00M, E = 2MM, REF. IQ TORO SC, DA TARKETT OU SIMILAR - FORNECIMENTO E INSTALAÇÃO, EXCLUSIVE REGULARIZAÇÃO DO PISO</v>
      </c>
      <c r="D92" s="69" t="s">
        <v>29</v>
      </c>
      <c r="E92" s="55">
        <v>20</v>
      </c>
      <c r="F92" s="55">
        <v>303.86</v>
      </c>
      <c r="G92" s="95">
        <f>F92*E92</f>
        <v>6077.2000000000007</v>
      </c>
      <c r="H92" s="48">
        <f t="shared" si="3"/>
        <v>8.7310436227448665E-4</v>
      </c>
      <c r="N92" s="41"/>
    </row>
    <row r="93" spans="1:14" s="40" customFormat="1" ht="72" x14ac:dyDescent="0.25">
      <c r="A93" s="94" t="s">
        <v>217</v>
      </c>
      <c r="B93" s="81" t="s">
        <v>218</v>
      </c>
      <c r="C93" s="68" t="str">
        <f>UPPER("Piso elevado c/ placa de aço preenchida com concreto celular, revestido com paviflex e=3,2mm c/ pedestais telescópico galv. à fogo, dim.600 x 600 x 30mm")</f>
        <v>PISO ELEVADO C/ PLACA DE AÇO PREENCHIDA COM CONCRETO CELULAR, REVESTIDO COM PAVIFLEX E=3,2MM C/ PEDESTAIS TELESCÓPICO GALV. À FOGO, DIM.600 X 600 X 30MM</v>
      </c>
      <c r="D93" s="69" t="s">
        <v>29</v>
      </c>
      <c r="E93" s="55">
        <v>10</v>
      </c>
      <c r="F93" s="55">
        <v>600</v>
      </c>
      <c r="G93" s="95">
        <f t="shared" ref="G93:G126" si="5">F93*E93</f>
        <v>6000</v>
      </c>
      <c r="H93" s="48">
        <f t="shared" si="3"/>
        <v>8.6201312671080744E-4</v>
      </c>
      <c r="N93" s="41"/>
    </row>
    <row r="94" spans="1:14" s="40" customFormat="1" ht="54" x14ac:dyDescent="0.25">
      <c r="A94" s="94" t="s">
        <v>219</v>
      </c>
      <c r="B94" s="81" t="s">
        <v>220</v>
      </c>
      <c r="C94" s="68" t="s">
        <v>221</v>
      </c>
      <c r="D94" s="69" t="s">
        <v>38</v>
      </c>
      <c r="E94" s="55">
        <v>100</v>
      </c>
      <c r="F94" s="55">
        <v>63.37</v>
      </c>
      <c r="G94" s="95">
        <f t="shared" si="5"/>
        <v>6337</v>
      </c>
      <c r="H94" s="48">
        <f t="shared" si="3"/>
        <v>9.104295306610645E-4</v>
      </c>
      <c r="N94" s="41"/>
    </row>
    <row r="95" spans="1:14" s="40" customFormat="1" ht="36" x14ac:dyDescent="0.25">
      <c r="A95" s="94" t="s">
        <v>222</v>
      </c>
      <c r="B95" s="81">
        <v>98682</v>
      </c>
      <c r="C95" s="68" t="s">
        <v>223</v>
      </c>
      <c r="D95" s="69" t="s">
        <v>29</v>
      </c>
      <c r="E95" s="55">
        <v>400</v>
      </c>
      <c r="F95" s="55">
        <v>35.69</v>
      </c>
      <c r="G95" s="95">
        <f t="shared" si="5"/>
        <v>14276</v>
      </c>
      <c r="H95" s="48">
        <f t="shared" si="3"/>
        <v>2.0510165661539147E-3</v>
      </c>
      <c r="N95" s="41"/>
    </row>
    <row r="96" spans="1:14" s="40" customFormat="1" ht="18" x14ac:dyDescent="0.25">
      <c r="A96" s="94" t="s">
        <v>224</v>
      </c>
      <c r="B96" s="81">
        <v>87262</v>
      </c>
      <c r="C96" s="68" t="s">
        <v>225</v>
      </c>
      <c r="D96" s="69" t="s">
        <v>29</v>
      </c>
      <c r="E96" s="55">
        <v>100</v>
      </c>
      <c r="F96" s="55">
        <v>108.02</v>
      </c>
      <c r="G96" s="95">
        <f t="shared" si="5"/>
        <v>10802</v>
      </c>
      <c r="H96" s="48">
        <f t="shared" si="3"/>
        <v>1.5519109657883572E-3</v>
      </c>
      <c r="N96" s="41"/>
    </row>
    <row r="97" spans="1:14" s="40" customFormat="1" ht="54" x14ac:dyDescent="0.25">
      <c r="A97" s="94" t="s">
        <v>226</v>
      </c>
      <c r="B97" s="81" t="s">
        <v>227</v>
      </c>
      <c r="C97" s="68" t="str">
        <f>UPPER("Rodapé cerâmico 10 x 45 cm, CONFORME ESPECIFICAÇÃO, aplicado com argamassa industrializada ac-iii, rejuntado")</f>
        <v>RODAPÉ CERÂMICO 10 X 45 CM, CONFORME ESPECIFICAÇÃO, APLICADO COM ARGAMASSA INDUSTRIALIZADA AC-III, REJUNTADO</v>
      </c>
      <c r="D97" s="69" t="s">
        <v>38</v>
      </c>
      <c r="E97" s="55">
        <v>250</v>
      </c>
      <c r="F97" s="55">
        <v>20.22</v>
      </c>
      <c r="G97" s="95">
        <f t="shared" si="5"/>
        <v>5055</v>
      </c>
      <c r="H97" s="48">
        <f t="shared" si="3"/>
        <v>7.2624605925385535E-4</v>
      </c>
      <c r="N97" s="41"/>
    </row>
    <row r="98" spans="1:14" s="40" customFormat="1" ht="36" x14ac:dyDescent="0.25">
      <c r="A98" s="94" t="s">
        <v>228</v>
      </c>
      <c r="B98" s="81">
        <v>98685</v>
      </c>
      <c r="C98" s="68" t="str">
        <f>UPPER("Rodapé em granito, h = 10 cm, e = 2,0 cm, aplicado com argamassa industrializada ac-i")</f>
        <v>RODAPÉ EM GRANITO, H = 10 CM, E = 2,0 CM, APLICADO COM ARGAMASSA INDUSTRIALIZADA AC-I</v>
      </c>
      <c r="D98" s="69" t="s">
        <v>38</v>
      </c>
      <c r="E98" s="55">
        <v>200</v>
      </c>
      <c r="F98" s="55">
        <v>50.74</v>
      </c>
      <c r="G98" s="95">
        <f t="shared" si="5"/>
        <v>10148</v>
      </c>
      <c r="H98" s="48">
        <f t="shared" si="3"/>
        <v>1.4579515349768791E-3</v>
      </c>
      <c r="N98" s="41"/>
    </row>
    <row r="99" spans="1:14" s="40" customFormat="1" ht="108" x14ac:dyDescent="0.25">
      <c r="A99" s="94" t="s">
        <v>229</v>
      </c>
      <c r="B99" s="81">
        <v>94438</v>
      </c>
      <c r="C99" s="68" t="s">
        <v>230</v>
      </c>
      <c r="D99" s="69" t="s">
        <v>29</v>
      </c>
      <c r="E99" s="55">
        <v>500</v>
      </c>
      <c r="F99" s="55">
        <v>39.700000000000003</v>
      </c>
      <c r="G99" s="95">
        <f t="shared" si="5"/>
        <v>19850</v>
      </c>
      <c r="H99" s="48">
        <f t="shared" si="3"/>
        <v>2.8518267608682547E-3</v>
      </c>
      <c r="N99" s="41"/>
    </row>
    <row r="100" spans="1:14" s="40" customFormat="1" ht="72" x14ac:dyDescent="0.25">
      <c r="A100" s="94" t="s">
        <v>231</v>
      </c>
      <c r="B100" s="81" t="s">
        <v>232</v>
      </c>
      <c r="C100" s="68" t="str">
        <f>UPPER("Piso alta resistência 12 mm, cor cinza, com juntas plásticas, polimento até o esmeril 400 e enceramento, exclusive argamassa de regularização, aplicado")</f>
        <v>PISO ALTA RESISTÊNCIA 12 MM, COR CINZA, COM JUNTAS PLÁSTICAS, POLIMENTO ATÉ O ESMERIL 400 E ENCERAMENTO, EXCLUSIVE ARGAMASSA DE REGULARIZAÇÃO, APLICADO</v>
      </c>
      <c r="D100" s="69" t="s">
        <v>29</v>
      </c>
      <c r="E100" s="55">
        <v>500</v>
      </c>
      <c r="F100" s="55">
        <v>39.9</v>
      </c>
      <c r="G100" s="95">
        <f t="shared" si="5"/>
        <v>19950</v>
      </c>
      <c r="H100" s="48">
        <f t="shared" si="3"/>
        <v>2.866193646313435E-3</v>
      </c>
      <c r="N100" s="41"/>
    </row>
    <row r="101" spans="1:14" s="40" customFormat="1" ht="36" x14ac:dyDescent="0.25">
      <c r="A101" s="94" t="s">
        <v>233</v>
      </c>
      <c r="B101" s="81" t="s">
        <v>234</v>
      </c>
      <c r="C101" s="68" t="s">
        <v>235</v>
      </c>
      <c r="D101" s="69" t="s">
        <v>29</v>
      </c>
      <c r="E101" s="55">
        <v>1000</v>
      </c>
      <c r="F101" s="55">
        <v>6</v>
      </c>
      <c r="G101" s="95">
        <f t="shared" si="5"/>
        <v>6000</v>
      </c>
      <c r="H101" s="48">
        <f t="shared" si="3"/>
        <v>8.6201312671080744E-4</v>
      </c>
      <c r="N101" s="41"/>
    </row>
    <row r="102" spans="1:14" s="40" customFormat="1" ht="72" x14ac:dyDescent="0.25">
      <c r="A102" s="94" t="s">
        <v>236</v>
      </c>
      <c r="B102" s="81" t="s">
        <v>237</v>
      </c>
      <c r="C102" s="68" t="str">
        <f>UPPER("Piso tátil direcional e de alerta, em concreto colorido, p/deficientes visuais, dimensões 30x30cm ou 25x25cm, aplicado com argamassa industrializada ac-ii, rejuntado, exclusive regularização de base")</f>
        <v>PISO TÁTIL DIRECIONAL E DE ALERTA, EM CONCRETO COLORIDO, P/DEFICIENTES VISUAIS, DIMENSÕES 30X30CM OU 25X25CM, APLICADO COM ARGAMASSA INDUSTRIALIZADA AC-II, REJUNTADO, EXCLUSIVE REGULARIZAÇÃO DE BASE</v>
      </c>
      <c r="D102" s="69" t="s">
        <v>29</v>
      </c>
      <c r="E102" s="55">
        <v>100</v>
      </c>
      <c r="F102" s="55">
        <v>81.7</v>
      </c>
      <c r="G102" s="95">
        <f t="shared" si="5"/>
        <v>8170</v>
      </c>
      <c r="H102" s="48">
        <f t="shared" si="3"/>
        <v>1.1737745408712161E-3</v>
      </c>
      <c r="N102" s="41"/>
    </row>
    <row r="103" spans="1:14" s="40" customFormat="1" ht="36" customHeight="1" x14ac:dyDescent="0.25">
      <c r="A103" s="94" t="s">
        <v>238</v>
      </c>
      <c r="B103" s="81" t="s">
        <v>239</v>
      </c>
      <c r="C103" s="68" t="str">
        <f>UPPER("Piso tátil direcional e/ou alerta, em borracha, p/deficientes visuais, dimensões 25x25cm, aplicado, rejuntado, exclusive regularização de base")</f>
        <v>PISO TÁTIL DIRECIONAL E/OU ALERTA, EM BORRACHA, P/DEFICIENTES VISUAIS, DIMENSÕES 25X25CM, APLICADO, REJUNTADO, EXCLUSIVE REGULARIZAÇÃO DE BASE</v>
      </c>
      <c r="D103" s="69" t="s">
        <v>29</v>
      </c>
      <c r="E103" s="55">
        <v>30</v>
      </c>
      <c r="F103" s="55">
        <v>273.12</v>
      </c>
      <c r="G103" s="95">
        <f t="shared" si="5"/>
        <v>8193.6</v>
      </c>
      <c r="H103" s="48">
        <f t="shared" si="3"/>
        <v>1.1771651258362787E-3</v>
      </c>
      <c r="N103" s="41"/>
    </row>
    <row r="104" spans="1:14" s="40" customFormat="1" ht="36" customHeight="1" x14ac:dyDescent="0.25">
      <c r="A104" s="94" t="s">
        <v>240</v>
      </c>
      <c r="B104" s="81" t="s">
        <v>241</v>
      </c>
      <c r="C104" s="68" t="str">
        <f>UPPER("Fornecimento e Instalação de Carpete Berber Point 920 da Beaulieu e=7mm, OU SIMILAR")</f>
        <v>FORNECIMENTO E INSTALAÇÃO DE CARPETE BERBER POINT 920 DA BEAULIEU E=7MM, OU SIMILAR</v>
      </c>
      <c r="D104" s="69" t="s">
        <v>29</v>
      </c>
      <c r="E104" s="55">
        <v>100</v>
      </c>
      <c r="F104" s="55">
        <v>120</v>
      </c>
      <c r="G104" s="95">
        <f t="shared" si="5"/>
        <v>12000</v>
      </c>
      <c r="H104" s="48">
        <f t="shared" si="3"/>
        <v>1.7240262534216149E-3</v>
      </c>
      <c r="N104" s="41"/>
    </row>
    <row r="105" spans="1:14" s="40" customFormat="1" ht="18" customHeight="1" x14ac:dyDescent="0.25">
      <c r="A105" s="94" t="s">
        <v>242</v>
      </c>
      <c r="B105" s="81">
        <v>72191</v>
      </c>
      <c r="C105" s="68" t="s">
        <v>243</v>
      </c>
      <c r="D105" s="69" t="s">
        <v>29</v>
      </c>
      <c r="E105" s="55">
        <v>100</v>
      </c>
      <c r="F105" s="55">
        <v>84.82</v>
      </c>
      <c r="G105" s="95">
        <f t="shared" si="5"/>
        <v>8482</v>
      </c>
      <c r="H105" s="48">
        <f t="shared" si="3"/>
        <v>1.2185992234601782E-3</v>
      </c>
      <c r="N105" s="41"/>
    </row>
    <row r="106" spans="1:14" s="40" customFormat="1" ht="18" customHeight="1" x14ac:dyDescent="0.25">
      <c r="A106" s="94" t="s">
        <v>244</v>
      </c>
      <c r="B106" s="81" t="s">
        <v>245</v>
      </c>
      <c r="C106" s="68" t="s">
        <v>246</v>
      </c>
      <c r="D106" s="69" t="s">
        <v>29</v>
      </c>
      <c r="E106" s="55">
        <v>100</v>
      </c>
      <c r="F106" s="55">
        <v>162.80000000000001</v>
      </c>
      <c r="G106" s="95">
        <f t="shared" si="5"/>
        <v>16280.000000000002</v>
      </c>
      <c r="H106" s="48">
        <f t="shared" si="3"/>
        <v>2.3389289504753244E-3</v>
      </c>
      <c r="N106" s="41"/>
    </row>
    <row r="107" spans="1:14" s="40" customFormat="1" ht="36" customHeight="1" x14ac:dyDescent="0.25">
      <c r="A107" s="94" t="s">
        <v>247</v>
      </c>
      <c r="B107" s="81">
        <v>84117</v>
      </c>
      <c r="C107" s="68" t="s">
        <v>248</v>
      </c>
      <c r="D107" s="69" t="s">
        <v>29</v>
      </c>
      <c r="E107" s="55">
        <v>100</v>
      </c>
      <c r="F107" s="55">
        <v>21.37</v>
      </c>
      <c r="G107" s="95">
        <f t="shared" si="5"/>
        <v>2137</v>
      </c>
      <c r="H107" s="48">
        <f t="shared" si="3"/>
        <v>3.0702034196349926E-4</v>
      </c>
      <c r="N107" s="41"/>
    </row>
    <row r="108" spans="1:14" s="40" customFormat="1" ht="36" customHeight="1" x14ac:dyDescent="0.25">
      <c r="A108" s="94" t="s">
        <v>249</v>
      </c>
      <c r="B108" s="81">
        <v>84666</v>
      </c>
      <c r="C108" s="68" t="s">
        <v>250</v>
      </c>
      <c r="D108" s="69" t="s">
        <v>29</v>
      </c>
      <c r="E108" s="55">
        <v>500</v>
      </c>
      <c r="F108" s="55">
        <v>22.24</v>
      </c>
      <c r="G108" s="95">
        <f t="shared" si="5"/>
        <v>11120</v>
      </c>
      <c r="H108" s="48">
        <f t="shared" si="3"/>
        <v>1.5975976615040298E-3</v>
      </c>
      <c r="N108" s="41"/>
    </row>
    <row r="109" spans="1:14" s="40" customFormat="1" ht="36" customHeight="1" x14ac:dyDescent="0.25">
      <c r="A109" s="94" t="s">
        <v>251</v>
      </c>
      <c r="B109" s="81" t="s">
        <v>252</v>
      </c>
      <c r="C109" s="68" t="s">
        <v>253</v>
      </c>
      <c r="D109" s="69" t="s">
        <v>29</v>
      </c>
      <c r="E109" s="55">
        <v>4000</v>
      </c>
      <c r="F109" s="55">
        <v>10.75</v>
      </c>
      <c r="G109" s="95">
        <f t="shared" si="5"/>
        <v>43000</v>
      </c>
      <c r="H109" s="48">
        <f t="shared" si="3"/>
        <v>6.1777607414274533E-3</v>
      </c>
      <c r="N109" s="41"/>
    </row>
    <row r="110" spans="1:14" s="40" customFormat="1" ht="36" customHeight="1" x14ac:dyDescent="0.25">
      <c r="A110" s="94" t="s">
        <v>254</v>
      </c>
      <c r="B110" s="81" t="s">
        <v>255</v>
      </c>
      <c r="C110" s="68" t="s">
        <v>256</v>
      </c>
      <c r="D110" s="69" t="s">
        <v>29</v>
      </c>
      <c r="E110" s="55">
        <v>250</v>
      </c>
      <c r="F110" s="55">
        <v>61.48</v>
      </c>
      <c r="G110" s="95">
        <f t="shared" si="5"/>
        <v>15370</v>
      </c>
      <c r="H110" s="48">
        <f t="shared" si="3"/>
        <v>2.208190292924185E-3</v>
      </c>
      <c r="N110" s="41"/>
    </row>
    <row r="111" spans="1:14" s="40" customFormat="1" ht="36" customHeight="1" x14ac:dyDescent="0.25">
      <c r="A111" s="94" t="s">
        <v>257</v>
      </c>
      <c r="B111" s="81">
        <v>95995</v>
      </c>
      <c r="C111" s="68" t="s">
        <v>258</v>
      </c>
      <c r="D111" s="69" t="s">
        <v>66</v>
      </c>
      <c r="E111" s="55">
        <v>10</v>
      </c>
      <c r="F111" s="55">
        <v>1058.1500000000001</v>
      </c>
      <c r="G111" s="95">
        <f t="shared" si="5"/>
        <v>10581.5</v>
      </c>
      <c r="H111" s="48">
        <f t="shared" si="3"/>
        <v>1.5202319833817349E-3</v>
      </c>
      <c r="N111" s="41"/>
    </row>
    <row r="112" spans="1:14" s="40" customFormat="1" ht="36" customHeight="1" x14ac:dyDescent="0.25">
      <c r="A112" s="94" t="s">
        <v>259</v>
      </c>
      <c r="B112" s="81">
        <v>92404</v>
      </c>
      <c r="C112" s="68" t="s">
        <v>260</v>
      </c>
      <c r="D112" s="69" t="s">
        <v>29</v>
      </c>
      <c r="E112" s="55">
        <v>300</v>
      </c>
      <c r="F112" s="55">
        <v>57.48</v>
      </c>
      <c r="G112" s="95">
        <f t="shared" si="5"/>
        <v>17244</v>
      </c>
      <c r="H112" s="48">
        <f t="shared" si="3"/>
        <v>2.4774257261668607E-3</v>
      </c>
      <c r="N112" s="41"/>
    </row>
    <row r="113" spans="1:14" s="40" customFormat="1" ht="36" customHeight="1" x14ac:dyDescent="0.25">
      <c r="A113" s="94" t="s">
        <v>261</v>
      </c>
      <c r="B113" s="82">
        <v>100624</v>
      </c>
      <c r="C113" s="103" t="s">
        <v>262</v>
      </c>
      <c r="D113" s="53" t="s">
        <v>66</v>
      </c>
      <c r="E113" s="54">
        <v>20</v>
      </c>
      <c r="F113" s="96">
        <v>839.73</v>
      </c>
      <c r="G113" s="95">
        <f t="shared" si="5"/>
        <v>16794.599999999999</v>
      </c>
      <c r="H113" s="48">
        <f t="shared" si="3"/>
        <v>2.4128609429762212E-3</v>
      </c>
      <c r="N113" s="41"/>
    </row>
    <row r="114" spans="1:14" s="40" customFormat="1" ht="36" customHeight="1" x14ac:dyDescent="0.25">
      <c r="A114" s="94" t="s">
        <v>263</v>
      </c>
      <c r="B114" s="82" t="s">
        <v>264</v>
      </c>
      <c r="C114" s="104" t="str">
        <f>UPPER(" Lastro de brita graduada apiloada e=10cm")</f>
        <v xml:space="preserve"> LASTRO DE BRITA GRADUADA APILOADA E=10CM</v>
      </c>
      <c r="D114" s="105" t="s">
        <v>29</v>
      </c>
      <c r="E114" s="85">
        <v>500</v>
      </c>
      <c r="F114" s="106">
        <v>20.02</v>
      </c>
      <c r="G114" s="95">
        <f t="shared" si="5"/>
        <v>10010</v>
      </c>
      <c r="H114" s="48">
        <f t="shared" si="3"/>
        <v>1.4381252330625304E-3</v>
      </c>
      <c r="N114" s="41"/>
    </row>
    <row r="115" spans="1:14" s="40" customFormat="1" ht="36" customHeight="1" x14ac:dyDescent="0.25">
      <c r="A115" s="94" t="s">
        <v>265</v>
      </c>
      <c r="B115" s="77" t="s">
        <v>266</v>
      </c>
      <c r="C115" s="107" t="s">
        <v>267</v>
      </c>
      <c r="D115" s="57" t="s">
        <v>29</v>
      </c>
      <c r="E115" s="55">
        <v>200</v>
      </c>
      <c r="F115" s="96">
        <v>133.16999999999999</v>
      </c>
      <c r="G115" s="95">
        <f t="shared" si="5"/>
        <v>26633.999999999996</v>
      </c>
      <c r="H115" s="48">
        <f t="shared" si="3"/>
        <v>3.8264762694692738E-3</v>
      </c>
      <c r="N115" s="41"/>
    </row>
    <row r="116" spans="1:14" s="40" customFormat="1" ht="36" customHeight="1" x14ac:dyDescent="0.25">
      <c r="A116" s="94" t="s">
        <v>268</v>
      </c>
      <c r="B116" s="81" t="s">
        <v>269</v>
      </c>
      <c r="C116" s="108" t="str">
        <f>UPPER("Tacha refletiva (tachão) bidirecional confeccionada em resina poliester com 2 pinos de aço 250 x 150 x 50 mm ")</f>
        <v xml:space="preserve">TACHA REFLETIVA (TACHÃO) BIDIRECIONAL CONFECCIONADA EM RESINA POLIESTER COM 2 PINOS DE AÇO 250 X 150 X 50 MM </v>
      </c>
      <c r="D116" s="69" t="s">
        <v>52</v>
      </c>
      <c r="E116" s="109">
        <v>50</v>
      </c>
      <c r="F116" s="109">
        <v>78.849999999999994</v>
      </c>
      <c r="G116" s="95">
        <f t="shared" si="5"/>
        <v>3942.4999999999995</v>
      </c>
      <c r="H116" s="48">
        <f t="shared" si="3"/>
        <v>5.6641445867622634E-4</v>
      </c>
      <c r="N116" s="41"/>
    </row>
    <row r="117" spans="1:14" s="40" customFormat="1" ht="36" customHeight="1" x14ac:dyDescent="0.25">
      <c r="A117" s="94" t="s">
        <v>270</v>
      </c>
      <c r="B117" s="81">
        <v>72183</v>
      </c>
      <c r="C117" s="68" t="s">
        <v>271</v>
      </c>
      <c r="D117" s="69" t="s">
        <v>29</v>
      </c>
      <c r="E117" s="55">
        <v>500</v>
      </c>
      <c r="F117" s="55">
        <v>84.2</v>
      </c>
      <c r="G117" s="95">
        <f t="shared" si="5"/>
        <v>42100</v>
      </c>
      <c r="H117" s="48">
        <f t="shared" si="3"/>
        <v>6.0484587724208326E-3</v>
      </c>
      <c r="N117" s="41"/>
    </row>
    <row r="118" spans="1:14" s="40" customFormat="1" ht="36" customHeight="1" x14ac:dyDescent="0.25">
      <c r="A118" s="94" t="s">
        <v>272</v>
      </c>
      <c r="B118" s="110" t="s">
        <v>273</v>
      </c>
      <c r="C118" s="111" t="s">
        <v>274</v>
      </c>
      <c r="D118" s="89" t="s">
        <v>29</v>
      </c>
      <c r="E118" s="112">
        <v>500</v>
      </c>
      <c r="F118" s="55">
        <v>25</v>
      </c>
      <c r="G118" s="95">
        <f t="shared" si="5"/>
        <v>12500</v>
      </c>
      <c r="H118" s="48">
        <f t="shared" si="3"/>
        <v>1.7958606806475156E-3</v>
      </c>
      <c r="N118" s="41"/>
    </row>
    <row r="119" spans="1:14" s="40" customFormat="1" ht="36" customHeight="1" x14ac:dyDescent="0.25">
      <c r="A119" s="94" t="s">
        <v>275</v>
      </c>
      <c r="B119" s="110" t="s">
        <v>276</v>
      </c>
      <c r="C119" s="111" t="s">
        <v>277</v>
      </c>
      <c r="D119" s="89" t="s">
        <v>29</v>
      </c>
      <c r="E119" s="112">
        <v>300</v>
      </c>
      <c r="F119" s="55">
        <v>81.96</v>
      </c>
      <c r="G119" s="95">
        <f t="shared" si="5"/>
        <v>24587.999999999996</v>
      </c>
      <c r="H119" s="48">
        <f t="shared" si="3"/>
        <v>3.5325297932608884E-3</v>
      </c>
      <c r="N119" s="41"/>
    </row>
    <row r="120" spans="1:14" s="40" customFormat="1" ht="36" customHeight="1" x14ac:dyDescent="0.25">
      <c r="A120" s="94" t="s">
        <v>278</v>
      </c>
      <c r="B120" s="110" t="s">
        <v>279</v>
      </c>
      <c r="C120" s="111" t="s">
        <v>280</v>
      </c>
      <c r="D120" s="89" t="s">
        <v>29</v>
      </c>
      <c r="E120" s="112">
        <v>100</v>
      </c>
      <c r="F120" s="55">
        <v>148.61000000000001</v>
      </c>
      <c r="G120" s="95">
        <f t="shared" si="5"/>
        <v>14861.000000000002</v>
      </c>
      <c r="H120" s="48">
        <f t="shared" si="3"/>
        <v>2.1350628460082184E-3</v>
      </c>
      <c r="N120" s="41"/>
    </row>
    <row r="121" spans="1:14" s="40" customFormat="1" ht="36" customHeight="1" x14ac:dyDescent="0.25">
      <c r="A121" s="94" t="s">
        <v>281</v>
      </c>
      <c r="B121" s="110" t="s">
        <v>282</v>
      </c>
      <c r="C121" s="111" t="s">
        <v>283</v>
      </c>
      <c r="D121" s="89" t="s">
        <v>29</v>
      </c>
      <c r="E121" s="112">
        <v>40</v>
      </c>
      <c r="F121" s="55">
        <v>300.27</v>
      </c>
      <c r="G121" s="95">
        <f t="shared" si="5"/>
        <v>12010.8</v>
      </c>
      <c r="H121" s="48">
        <f t="shared" si="3"/>
        <v>1.7255778770496942E-3</v>
      </c>
      <c r="N121" s="41"/>
    </row>
    <row r="122" spans="1:14" s="40" customFormat="1" ht="36" customHeight="1" x14ac:dyDescent="0.25">
      <c r="A122" s="94" t="s">
        <v>284</v>
      </c>
      <c r="B122" s="113">
        <v>84162</v>
      </c>
      <c r="C122" s="114" t="s">
        <v>285</v>
      </c>
      <c r="D122" s="115" t="s">
        <v>38</v>
      </c>
      <c r="E122" s="112">
        <v>500</v>
      </c>
      <c r="F122" s="55">
        <v>17.71</v>
      </c>
      <c r="G122" s="95">
        <f t="shared" si="5"/>
        <v>8855</v>
      </c>
      <c r="H122" s="48">
        <f t="shared" si="3"/>
        <v>1.2721877061707E-3</v>
      </c>
      <c r="N122" s="41"/>
    </row>
    <row r="123" spans="1:14" s="40" customFormat="1" ht="36" customHeight="1" x14ac:dyDescent="0.25">
      <c r="A123" s="94" t="s">
        <v>286</v>
      </c>
      <c r="B123" s="113" t="s">
        <v>287</v>
      </c>
      <c r="C123" s="114" t="s">
        <v>288</v>
      </c>
      <c r="D123" s="115" t="s">
        <v>38</v>
      </c>
      <c r="E123" s="112">
        <v>900</v>
      </c>
      <c r="F123" s="55">
        <v>4.13</v>
      </c>
      <c r="G123" s="95">
        <f t="shared" si="5"/>
        <v>3717</v>
      </c>
      <c r="H123" s="48">
        <f t="shared" si="3"/>
        <v>5.3401713199734526E-4</v>
      </c>
      <c r="N123" s="41"/>
    </row>
    <row r="124" spans="1:14" s="40" customFormat="1" ht="36" customHeight="1" x14ac:dyDescent="0.25">
      <c r="A124" s="94" t="s">
        <v>289</v>
      </c>
      <c r="B124" s="116" t="s">
        <v>290</v>
      </c>
      <c r="C124" s="114" t="s">
        <v>291</v>
      </c>
      <c r="D124" s="115" t="s">
        <v>29</v>
      </c>
      <c r="E124" s="112">
        <v>500</v>
      </c>
      <c r="F124" s="55">
        <v>20.22</v>
      </c>
      <c r="G124" s="95">
        <f t="shared" si="5"/>
        <v>10110</v>
      </c>
      <c r="H124" s="48">
        <f t="shared" si="3"/>
        <v>1.4524921185077107E-3</v>
      </c>
      <c r="N124" s="41"/>
    </row>
    <row r="125" spans="1:14" s="40" customFormat="1" ht="36" customHeight="1" x14ac:dyDescent="0.25">
      <c r="A125" s="94" t="s">
        <v>292</v>
      </c>
      <c r="B125" s="116" t="s">
        <v>293</v>
      </c>
      <c r="C125" s="114" t="s">
        <v>294</v>
      </c>
      <c r="D125" s="115" t="s">
        <v>38</v>
      </c>
      <c r="E125" s="112">
        <v>150</v>
      </c>
      <c r="F125" s="55">
        <v>17.079999999999998</v>
      </c>
      <c r="G125" s="95">
        <f t="shared" si="5"/>
        <v>2561.9999999999995</v>
      </c>
      <c r="H125" s="48">
        <f t="shared" si="3"/>
        <v>3.6807960510551474E-4</v>
      </c>
      <c r="N125" s="41"/>
    </row>
    <row r="126" spans="1:14" s="40" customFormat="1" ht="36" customHeight="1" thickBot="1" x14ac:dyDescent="0.3">
      <c r="A126" s="94" t="s">
        <v>295</v>
      </c>
      <c r="B126" s="117">
        <v>92395</v>
      </c>
      <c r="C126" s="118" t="s">
        <v>296</v>
      </c>
      <c r="D126" s="119" t="s">
        <v>148</v>
      </c>
      <c r="E126" s="85">
        <v>90</v>
      </c>
      <c r="F126" s="85">
        <v>65.87</v>
      </c>
      <c r="G126" s="95">
        <f t="shared" si="5"/>
        <v>5928.3</v>
      </c>
      <c r="H126" s="48">
        <f t="shared" si="3"/>
        <v>8.5171206984661332E-4</v>
      </c>
      <c r="N126" s="41"/>
    </row>
    <row r="127" spans="1:14" s="40" customFormat="1" ht="18.75" thickBot="1" x14ac:dyDescent="0.3">
      <c r="A127" s="42">
        <v>5</v>
      </c>
      <c r="B127" s="90"/>
      <c r="C127" s="71" t="s">
        <v>297</v>
      </c>
      <c r="D127" s="91"/>
      <c r="E127" s="92"/>
      <c r="F127" s="92"/>
      <c r="G127" s="72">
        <f>SUM(G128:G135)</f>
        <v>138943.20000000001</v>
      </c>
      <c r="H127" s="48">
        <f t="shared" si="3"/>
        <v>1.9961810377867512E-2</v>
      </c>
      <c r="N127" s="41"/>
    </row>
    <row r="128" spans="1:14" s="40" customFormat="1" ht="90" x14ac:dyDescent="0.25">
      <c r="A128" s="50" t="s">
        <v>298</v>
      </c>
      <c r="B128" s="79" t="s">
        <v>299</v>
      </c>
      <c r="C128" s="80" t="str">
        <f>UPPER(" Revestimento cerâmico para piso ou parede, 30 x 60 cm, porcelanato, linha white home, antártida, Portobello ou similar, aplicado com argamassa industrializada ac-i, rejuntado, exclusive regularização de base ou emboço")</f>
        <v xml:space="preserve"> REVESTIMENTO CERÂMICO PARA PISO OU PAREDE, 30 X 60 CM, PORCELANATO, LINHA WHITE HOME, ANTÁRTIDA, PORTOBELLO OU SIMILAR, APLICADO COM ARGAMASSA INDUSTRIALIZADA AC-I, REJUNTADO, EXCLUSIVE REGULARIZAÇÃO DE BASE OU EMBOÇO</v>
      </c>
      <c r="D128" s="69" t="s">
        <v>29</v>
      </c>
      <c r="E128" s="55">
        <v>250</v>
      </c>
      <c r="F128" s="55">
        <v>61.34</v>
      </c>
      <c r="G128" s="120">
        <f>F128*E128</f>
        <v>15335</v>
      </c>
      <c r="H128" s="48">
        <f t="shared" si="3"/>
        <v>2.2031618830183723E-3</v>
      </c>
      <c r="N128" s="41"/>
    </row>
    <row r="129" spans="1:14" s="40" customFormat="1" ht="36" x14ac:dyDescent="0.25">
      <c r="A129" s="50" t="s">
        <v>300</v>
      </c>
      <c r="B129" s="79">
        <v>89048</v>
      </c>
      <c r="C129" s="68" t="s">
        <v>301</v>
      </c>
      <c r="D129" s="69" t="s">
        <v>29</v>
      </c>
      <c r="E129" s="55">
        <v>1500</v>
      </c>
      <c r="F129" s="55">
        <v>32.090000000000003</v>
      </c>
      <c r="G129" s="120">
        <f t="shared" ref="G129:G135" si="6">F129*E129</f>
        <v>48135.000000000007</v>
      </c>
      <c r="H129" s="48">
        <f t="shared" si="3"/>
        <v>6.9155003090374543E-3</v>
      </c>
      <c r="N129" s="41"/>
    </row>
    <row r="130" spans="1:14" s="40" customFormat="1" ht="72" x14ac:dyDescent="0.25">
      <c r="A130" s="50" t="s">
        <v>302</v>
      </c>
      <c r="B130" s="79">
        <v>87905</v>
      </c>
      <c r="C130" s="68" t="s">
        <v>303</v>
      </c>
      <c r="D130" s="69" t="s">
        <v>29</v>
      </c>
      <c r="E130" s="55">
        <v>1500</v>
      </c>
      <c r="F130" s="55">
        <v>7.7</v>
      </c>
      <c r="G130" s="120">
        <f t="shared" si="6"/>
        <v>11550</v>
      </c>
      <c r="H130" s="48">
        <f>G130/$G$602</f>
        <v>1.6593752689183043E-3</v>
      </c>
      <c r="N130" s="41"/>
    </row>
    <row r="131" spans="1:14" s="40" customFormat="1" ht="72" x14ac:dyDescent="0.25">
      <c r="A131" s="50" t="s">
        <v>304</v>
      </c>
      <c r="B131" s="79">
        <v>87894</v>
      </c>
      <c r="C131" s="68" t="s">
        <v>305</v>
      </c>
      <c r="D131" s="69" t="s">
        <v>29</v>
      </c>
      <c r="E131" s="55">
        <v>90</v>
      </c>
      <c r="F131" s="55">
        <v>5.8</v>
      </c>
      <c r="G131" s="120">
        <f t="shared" si="6"/>
        <v>522</v>
      </c>
      <c r="H131" s="48">
        <f>G131/$G$602</f>
        <v>7.4995142023840248E-5</v>
      </c>
      <c r="N131" s="41"/>
    </row>
    <row r="132" spans="1:14" s="40" customFormat="1" ht="36" x14ac:dyDescent="0.25">
      <c r="A132" s="50" t="s">
        <v>306</v>
      </c>
      <c r="B132" s="79" t="s">
        <v>307</v>
      </c>
      <c r="C132" s="68" t="str">
        <f>UPPER("Reboco especial de parede 2cm com argamassa traço t3 - 1:3 cimento / areia / vedacit")</f>
        <v>REBOCO ESPECIAL DE PAREDE 2CM COM ARGAMASSA TRAÇO T3 - 1:3 CIMENTO / AREIA / VEDACIT</v>
      </c>
      <c r="D132" s="69" t="s">
        <v>29</v>
      </c>
      <c r="E132" s="55">
        <v>10</v>
      </c>
      <c r="F132" s="55">
        <v>27.52</v>
      </c>
      <c r="G132" s="120">
        <f t="shared" si="6"/>
        <v>275.2</v>
      </c>
      <c r="H132" s="48"/>
      <c r="N132" s="41"/>
    </row>
    <row r="133" spans="1:14" s="40" customFormat="1" ht="72" x14ac:dyDescent="0.25">
      <c r="A133" s="50" t="s">
        <v>308</v>
      </c>
      <c r="B133" s="79">
        <v>87242</v>
      </c>
      <c r="C133" s="68" t="s">
        <v>309</v>
      </c>
      <c r="D133" s="69" t="s">
        <v>29</v>
      </c>
      <c r="E133" s="55">
        <v>200</v>
      </c>
      <c r="F133" s="55">
        <v>212.2</v>
      </c>
      <c r="G133" s="120">
        <f t="shared" si="6"/>
        <v>42440</v>
      </c>
      <c r="H133" s="48">
        <f t="shared" ref="H133:H196" si="7">G133/$G$602</f>
        <v>6.0973061829344448E-3</v>
      </c>
      <c r="N133" s="41"/>
    </row>
    <row r="134" spans="1:14" s="40" customFormat="1" ht="72" x14ac:dyDescent="0.25">
      <c r="A134" s="50" t="s">
        <v>310</v>
      </c>
      <c r="B134" s="79" t="s">
        <v>311</v>
      </c>
      <c r="C134" s="68" t="str">
        <f>UPPER("Revestimento com chapa em fórmica padrão madeirado, Mel Linheiro, ref.:M814, acabamento TX ou similar, colada c/ formicola ou similar, diretamente sobre emboço")</f>
        <v>REVESTIMENTO COM CHAPA EM FÓRMICA PADRÃO MADEIRADO, MEL LINHEIRO, REF.:M814, ACABAMENTO TX OU SIMILAR, COLADA C/ FORMICOLA OU SIMILAR, DIRETAMENTE SOBRE EMBOÇO</v>
      </c>
      <c r="D134" s="69" t="s">
        <v>29</v>
      </c>
      <c r="E134" s="55">
        <v>50</v>
      </c>
      <c r="F134" s="55">
        <v>93.72</v>
      </c>
      <c r="G134" s="120">
        <f t="shared" si="6"/>
        <v>4686</v>
      </c>
      <c r="H134" s="48">
        <f t="shared" si="7"/>
        <v>6.732322519611406E-4</v>
      </c>
      <c r="N134" s="41"/>
    </row>
    <row r="135" spans="1:14" s="40" customFormat="1" ht="54" customHeight="1" thickBot="1" x14ac:dyDescent="0.3">
      <c r="A135" s="50" t="s">
        <v>312</v>
      </c>
      <c r="B135" s="121" t="s">
        <v>313</v>
      </c>
      <c r="C135" s="108" t="str">
        <f>UPPER("Isolamento acústico com placa de espuma de poliuretano poliester e=75mm (trorion-illubruck, ref.: sonex 75/75 ou similar)")</f>
        <v>ISOLAMENTO ACÚSTICO COM PLACA DE ESPUMA DE POLIURETANO POLIESTER E=75MM (TRORION-ILLUBRUCK, REF.: SONEX 75/75 OU SIMILAR)</v>
      </c>
      <c r="D135" s="119" t="s">
        <v>29</v>
      </c>
      <c r="E135" s="85">
        <v>100</v>
      </c>
      <c r="F135" s="85">
        <v>160</v>
      </c>
      <c r="G135" s="120">
        <f t="shared" si="6"/>
        <v>16000</v>
      </c>
      <c r="H135" s="48">
        <f t="shared" si="7"/>
        <v>2.2987016712288201E-3</v>
      </c>
      <c r="N135" s="41"/>
    </row>
    <row r="136" spans="1:14" s="40" customFormat="1" ht="18.75" thickBot="1" x14ac:dyDescent="0.3">
      <c r="A136" s="42">
        <v>6</v>
      </c>
      <c r="B136" s="90"/>
      <c r="C136" s="71" t="s">
        <v>314</v>
      </c>
      <c r="D136" s="91"/>
      <c r="E136" s="92"/>
      <c r="F136" s="93"/>
      <c r="G136" s="72">
        <f>SUM(G137:G143)</f>
        <v>151250</v>
      </c>
      <c r="H136" s="48">
        <f t="shared" si="7"/>
        <v>2.1729914235834938E-2</v>
      </c>
      <c r="N136" s="41"/>
    </row>
    <row r="137" spans="1:14" s="40" customFormat="1" ht="36" x14ac:dyDescent="0.25">
      <c r="A137" s="50" t="s">
        <v>315</v>
      </c>
      <c r="B137" s="81">
        <v>96109</v>
      </c>
      <c r="C137" s="122" t="s">
        <v>316</v>
      </c>
      <c r="D137" s="69" t="s">
        <v>29</v>
      </c>
      <c r="E137" s="60">
        <v>500</v>
      </c>
      <c r="F137" s="60">
        <v>36.299999999999997</v>
      </c>
      <c r="G137" s="120">
        <f t="shared" ref="G137:G143" si="8">F137*E137</f>
        <v>18150</v>
      </c>
      <c r="H137" s="48">
        <f t="shared" si="7"/>
        <v>2.6075897083001928E-3</v>
      </c>
      <c r="N137" s="41"/>
    </row>
    <row r="138" spans="1:14" s="40" customFormat="1" ht="36" x14ac:dyDescent="0.25">
      <c r="A138" s="50" t="s">
        <v>317</v>
      </c>
      <c r="B138" s="79" t="s">
        <v>318</v>
      </c>
      <c r="C138" s="80" t="str">
        <f>UPPER("Forro acústico em placas de fibra mineral c/perfil T em aço, marca SONEX ou similar, instalado")</f>
        <v>FORRO ACÚSTICO EM PLACAS DE FIBRA MINERAL C/PERFIL T EM AÇO, MARCA SONEX OU SIMILAR, INSTALADO</v>
      </c>
      <c r="D138" s="69" t="s">
        <v>29</v>
      </c>
      <c r="E138" s="60">
        <v>500</v>
      </c>
      <c r="F138" s="60">
        <v>90</v>
      </c>
      <c r="G138" s="120">
        <f t="shared" si="8"/>
        <v>45000</v>
      </c>
      <c r="H138" s="48">
        <f t="shared" si="7"/>
        <v>6.4650984503310562E-3</v>
      </c>
      <c r="N138" s="41"/>
    </row>
    <row r="139" spans="1:14" s="40" customFormat="1" ht="36" x14ac:dyDescent="0.25">
      <c r="A139" s="50" t="s">
        <v>319</v>
      </c>
      <c r="B139" s="117" t="s">
        <v>320</v>
      </c>
      <c r="C139" s="108" t="s">
        <v>321</v>
      </c>
      <c r="D139" s="119" t="s">
        <v>29</v>
      </c>
      <c r="E139" s="109">
        <v>250</v>
      </c>
      <c r="F139" s="109">
        <v>88</v>
      </c>
      <c r="G139" s="120">
        <f t="shared" si="8"/>
        <v>22000</v>
      </c>
      <c r="H139" s="48">
        <f t="shared" si="7"/>
        <v>3.1607147979396274E-3</v>
      </c>
      <c r="N139" s="41"/>
    </row>
    <row r="140" spans="1:14" s="40" customFormat="1" ht="36" x14ac:dyDescent="0.25">
      <c r="A140" s="50" t="s">
        <v>322</v>
      </c>
      <c r="B140" s="117">
        <v>96112</v>
      </c>
      <c r="C140" s="108" t="s">
        <v>323</v>
      </c>
      <c r="D140" s="119" t="s">
        <v>29</v>
      </c>
      <c r="E140" s="109">
        <v>200</v>
      </c>
      <c r="F140" s="109">
        <v>111.1</v>
      </c>
      <c r="G140" s="120">
        <f t="shared" si="8"/>
        <v>22220</v>
      </c>
      <c r="H140" s="48">
        <f t="shared" si="7"/>
        <v>3.1923219459190238E-3</v>
      </c>
      <c r="N140" s="41"/>
    </row>
    <row r="141" spans="1:14" s="40" customFormat="1" ht="36" x14ac:dyDescent="0.25">
      <c r="A141" s="50" t="s">
        <v>324</v>
      </c>
      <c r="B141" s="81" t="s">
        <v>325</v>
      </c>
      <c r="C141" s="80" t="str">
        <f>UPPER("Forro de pvc, em réguas de 10 ou 20 cm, aplicado, incluSive estrutura para fixação")</f>
        <v>FORRO DE PVC, EM RÉGUAS DE 10 OU 20 CM, APLICADO, INCLUSIVE ESTRUTURA PARA FIXAÇÃO</v>
      </c>
      <c r="D141" s="69" t="s">
        <v>29</v>
      </c>
      <c r="E141" s="60">
        <v>200</v>
      </c>
      <c r="F141" s="60">
        <v>29.9</v>
      </c>
      <c r="G141" s="120">
        <f t="shared" si="8"/>
        <v>5980</v>
      </c>
      <c r="H141" s="48">
        <f t="shared" si="7"/>
        <v>8.5913974962177142E-4</v>
      </c>
      <c r="N141" s="41"/>
    </row>
    <row r="142" spans="1:14" s="40" customFormat="1" ht="36" x14ac:dyDescent="0.25">
      <c r="A142" s="50" t="s">
        <v>326</v>
      </c>
      <c r="B142" s="81" t="s">
        <v>327</v>
      </c>
      <c r="C142" s="122" t="s">
        <v>328</v>
      </c>
      <c r="D142" s="69" t="s">
        <v>29</v>
      </c>
      <c r="E142" s="60">
        <v>500</v>
      </c>
      <c r="F142" s="60">
        <v>50</v>
      </c>
      <c r="G142" s="120">
        <f t="shared" si="8"/>
        <v>25000</v>
      </c>
      <c r="H142" s="48">
        <f t="shared" si="7"/>
        <v>3.5917213612950312E-3</v>
      </c>
      <c r="N142" s="41"/>
    </row>
    <row r="143" spans="1:14" s="40" customFormat="1" ht="36" customHeight="1" thickBot="1" x14ac:dyDescent="0.3">
      <c r="A143" s="50" t="s">
        <v>329</v>
      </c>
      <c r="B143" s="81" t="s">
        <v>330</v>
      </c>
      <c r="C143" s="122" t="s">
        <v>331</v>
      </c>
      <c r="D143" s="69" t="s">
        <v>148</v>
      </c>
      <c r="E143" s="60">
        <v>300</v>
      </c>
      <c r="F143" s="60">
        <v>43</v>
      </c>
      <c r="G143" s="120">
        <f t="shared" si="8"/>
        <v>12900</v>
      </c>
      <c r="H143" s="48">
        <f t="shared" si="7"/>
        <v>1.853328222428236E-3</v>
      </c>
      <c r="N143" s="41"/>
    </row>
    <row r="144" spans="1:14" s="40" customFormat="1" ht="18.75" thickBot="1" x14ac:dyDescent="0.3">
      <c r="A144" s="42">
        <v>7</v>
      </c>
      <c r="B144" s="90"/>
      <c r="C144" s="71" t="s">
        <v>332</v>
      </c>
      <c r="D144" s="91"/>
      <c r="E144" s="92"/>
      <c r="F144" s="93"/>
      <c r="G144" s="72">
        <f>SUM(G145:G158)</f>
        <v>239500</v>
      </c>
      <c r="H144" s="48">
        <f t="shared" si="7"/>
        <v>3.4408690641206399E-2</v>
      </c>
      <c r="N144" s="41"/>
    </row>
    <row r="145" spans="1:14" s="40" customFormat="1" ht="72" x14ac:dyDescent="0.25">
      <c r="A145" s="94" t="s">
        <v>333</v>
      </c>
      <c r="B145" s="79" t="s">
        <v>334</v>
      </c>
      <c r="C145" s="123" t="str">
        <f>UPPER("Pintura de acabamento com aplicação de fundo preparador epoxi, 01 demão de massa epoxi e 02 demãos de tinta esmalte epoxi branco, e = 35 micra p/ demão - R1")</f>
        <v>PINTURA DE ACABAMENTO COM APLICAÇÃO DE FUNDO PREPARADOR EPOXI, 01 DEMÃO DE MASSA EPOXI E 02 DEMÃOS DE TINTA ESMALTE EPOXI BRANCO, E = 35 MICRA P/ DEMÃO - R1</v>
      </c>
      <c r="D145" s="119" t="s">
        <v>29</v>
      </c>
      <c r="E145" s="109">
        <v>500</v>
      </c>
      <c r="F145" s="85">
        <v>69.94</v>
      </c>
      <c r="G145" s="120">
        <f t="shared" ref="G145:G158" si="9">F145*E145</f>
        <v>34970</v>
      </c>
      <c r="H145" s="48">
        <f t="shared" si="7"/>
        <v>5.02409984017949E-3</v>
      </c>
      <c r="N145" s="41"/>
    </row>
    <row r="146" spans="1:14" s="40" customFormat="1" ht="18" x14ac:dyDescent="0.25">
      <c r="A146" s="94" t="s">
        <v>335</v>
      </c>
      <c r="B146" s="79">
        <v>88483</v>
      </c>
      <c r="C146" s="123" t="s">
        <v>336</v>
      </c>
      <c r="D146" s="119" t="s">
        <v>29</v>
      </c>
      <c r="E146" s="109">
        <v>5000</v>
      </c>
      <c r="F146" s="85">
        <v>2.72</v>
      </c>
      <c r="G146" s="120">
        <f t="shared" si="9"/>
        <v>13600.000000000002</v>
      </c>
      <c r="H146" s="48">
        <f t="shared" si="7"/>
        <v>1.9538964205444973E-3</v>
      </c>
      <c r="N146" s="41"/>
    </row>
    <row r="147" spans="1:14" s="40" customFormat="1" ht="18" x14ac:dyDescent="0.25">
      <c r="A147" s="94" t="s">
        <v>337</v>
      </c>
      <c r="B147" s="79">
        <v>88495</v>
      </c>
      <c r="C147" s="123" t="s">
        <v>338</v>
      </c>
      <c r="D147" s="119" t="s">
        <v>29</v>
      </c>
      <c r="E147" s="109">
        <v>5000</v>
      </c>
      <c r="F147" s="85">
        <v>9.2100000000000009</v>
      </c>
      <c r="G147" s="120">
        <f t="shared" si="9"/>
        <v>46050.000000000007</v>
      </c>
      <c r="H147" s="48">
        <f t="shared" si="7"/>
        <v>6.6159507475054488E-3</v>
      </c>
      <c r="N147" s="41"/>
    </row>
    <row r="148" spans="1:14" s="40" customFormat="1" ht="36" x14ac:dyDescent="0.25">
      <c r="A148" s="94" t="s">
        <v>339</v>
      </c>
      <c r="B148" s="79">
        <v>88489</v>
      </c>
      <c r="C148" s="123" t="s">
        <v>340</v>
      </c>
      <c r="D148" s="119" t="s">
        <v>29</v>
      </c>
      <c r="E148" s="109">
        <v>5000</v>
      </c>
      <c r="F148" s="85">
        <v>11.87</v>
      </c>
      <c r="G148" s="120">
        <f t="shared" si="9"/>
        <v>59349.999999999993</v>
      </c>
      <c r="H148" s="48">
        <f t="shared" si="7"/>
        <v>8.5267465117144035E-3</v>
      </c>
      <c r="N148" s="41"/>
    </row>
    <row r="149" spans="1:14" s="40" customFormat="1" ht="36" x14ac:dyDescent="0.25">
      <c r="A149" s="94" t="s">
        <v>341</v>
      </c>
      <c r="B149" s="79" t="s">
        <v>342</v>
      </c>
      <c r="C149" s="122" t="s">
        <v>343</v>
      </c>
      <c r="D149" s="57" t="s">
        <v>29</v>
      </c>
      <c r="E149" s="60">
        <v>500</v>
      </c>
      <c r="F149" s="60">
        <v>24.03</v>
      </c>
      <c r="G149" s="120">
        <f t="shared" si="9"/>
        <v>12015</v>
      </c>
      <c r="H149" s="48">
        <f t="shared" si="7"/>
        <v>1.726181286238392E-3</v>
      </c>
      <c r="N149" s="41"/>
    </row>
    <row r="150" spans="1:14" s="40" customFormat="1" ht="54" x14ac:dyDescent="0.25">
      <c r="A150" s="94" t="s">
        <v>344</v>
      </c>
      <c r="B150" s="67">
        <v>100742</v>
      </c>
      <c r="C150" s="68" t="s">
        <v>40</v>
      </c>
      <c r="D150" s="69" t="s">
        <v>29</v>
      </c>
      <c r="E150" s="55">
        <v>500</v>
      </c>
      <c r="F150" s="55">
        <v>20.28</v>
      </c>
      <c r="G150" s="120">
        <f t="shared" si="9"/>
        <v>10140</v>
      </c>
      <c r="H150" s="48">
        <f t="shared" si="7"/>
        <v>1.4568021841412646E-3</v>
      </c>
      <c r="N150" s="41"/>
    </row>
    <row r="151" spans="1:14" s="40" customFormat="1" ht="54" x14ac:dyDescent="0.25">
      <c r="A151" s="94" t="s">
        <v>345</v>
      </c>
      <c r="B151" s="81" t="s">
        <v>346</v>
      </c>
      <c r="C151" s="122" t="str">
        <f>UPPER("Pintura de proteção sobre superfícies metálicas com 01 demão de primer à base de epóxi - REZINC WBS - RENNER ou similar - R1  ")</f>
        <v xml:space="preserve">PINTURA DE PROTEÇÃO SOBRE SUPERFÍCIES METÁLICAS COM 01 DEMÃO DE PRIMER À BASE DE EPÓXI - REZINC WBS - RENNER OU SIMILAR - R1  </v>
      </c>
      <c r="D151" s="69" t="s">
        <v>29</v>
      </c>
      <c r="E151" s="60">
        <v>500</v>
      </c>
      <c r="F151" s="55">
        <v>15.07</v>
      </c>
      <c r="G151" s="120">
        <f t="shared" si="9"/>
        <v>7535</v>
      </c>
      <c r="H151" s="48">
        <f t="shared" si="7"/>
        <v>1.0825448182943224E-3</v>
      </c>
      <c r="N151" s="41"/>
    </row>
    <row r="152" spans="1:14" s="40" customFormat="1" ht="18" x14ac:dyDescent="0.25">
      <c r="A152" s="94" t="s">
        <v>347</v>
      </c>
      <c r="B152" s="82">
        <v>41595</v>
      </c>
      <c r="C152" s="107" t="s">
        <v>348</v>
      </c>
      <c r="D152" s="57" t="s">
        <v>38</v>
      </c>
      <c r="E152" s="55">
        <v>500</v>
      </c>
      <c r="F152" s="96">
        <v>11.33</v>
      </c>
      <c r="G152" s="120">
        <f t="shared" si="9"/>
        <v>5665</v>
      </c>
      <c r="H152" s="48">
        <f t="shared" si="7"/>
        <v>8.1388406046945406E-4</v>
      </c>
      <c r="N152" s="41"/>
    </row>
    <row r="153" spans="1:14" s="40" customFormat="1" ht="18" x14ac:dyDescent="0.25">
      <c r="A153" s="94" t="s">
        <v>349</v>
      </c>
      <c r="B153" s="82" t="s">
        <v>350</v>
      </c>
      <c r="C153" s="103" t="s">
        <v>351</v>
      </c>
      <c r="D153" s="53" t="s">
        <v>29</v>
      </c>
      <c r="E153" s="54">
        <v>500</v>
      </c>
      <c r="F153" s="96">
        <v>15.02</v>
      </c>
      <c r="G153" s="120">
        <f t="shared" si="9"/>
        <v>7510</v>
      </c>
      <c r="H153" s="48">
        <f t="shared" si="7"/>
        <v>1.0789530969330273E-3</v>
      </c>
      <c r="N153" s="41"/>
    </row>
    <row r="154" spans="1:14" s="40" customFormat="1" ht="36" x14ac:dyDescent="0.25">
      <c r="A154" s="94" t="s">
        <v>352</v>
      </c>
      <c r="B154" s="82">
        <v>88487</v>
      </c>
      <c r="C154" s="107" t="s">
        <v>353</v>
      </c>
      <c r="D154" s="69" t="s">
        <v>148</v>
      </c>
      <c r="E154" s="55">
        <v>2000</v>
      </c>
      <c r="F154" s="96">
        <v>9.27</v>
      </c>
      <c r="G154" s="120">
        <f t="shared" si="9"/>
        <v>18540</v>
      </c>
      <c r="H154" s="48">
        <f t="shared" si="7"/>
        <v>2.6636205615363953E-3</v>
      </c>
      <c r="N154" s="41"/>
    </row>
    <row r="155" spans="1:14" s="40" customFormat="1" ht="36" x14ac:dyDescent="0.25">
      <c r="A155" s="94" t="s">
        <v>354</v>
      </c>
      <c r="B155" s="82">
        <v>88486</v>
      </c>
      <c r="C155" s="107" t="s">
        <v>355</v>
      </c>
      <c r="D155" s="69" t="s">
        <v>148</v>
      </c>
      <c r="E155" s="55">
        <v>600</v>
      </c>
      <c r="F155" s="96">
        <v>10.51</v>
      </c>
      <c r="G155" s="120">
        <f t="shared" si="9"/>
        <v>6306</v>
      </c>
      <c r="H155" s="48">
        <f t="shared" si="7"/>
        <v>9.0597579617305863E-4</v>
      </c>
      <c r="N155" s="41"/>
    </row>
    <row r="156" spans="1:14" s="40" customFormat="1" ht="36" x14ac:dyDescent="0.25">
      <c r="A156" s="94" t="s">
        <v>356</v>
      </c>
      <c r="B156" s="82" t="s">
        <v>357</v>
      </c>
      <c r="C156" s="107" t="s">
        <v>358</v>
      </c>
      <c r="D156" s="69" t="s">
        <v>148</v>
      </c>
      <c r="E156" s="55">
        <v>1600</v>
      </c>
      <c r="F156" s="96">
        <v>3.36</v>
      </c>
      <c r="G156" s="120">
        <f t="shared" si="9"/>
        <v>5376</v>
      </c>
      <c r="H156" s="48">
        <f t="shared" si="7"/>
        <v>7.723637615328835E-4</v>
      </c>
      <c r="N156" s="41"/>
    </row>
    <row r="157" spans="1:14" s="40" customFormat="1" ht="54" x14ac:dyDescent="0.25">
      <c r="A157" s="94" t="s">
        <v>359</v>
      </c>
      <c r="B157" s="82" t="s">
        <v>360</v>
      </c>
      <c r="C157" s="107" t="str">
        <f>UPPER("Emassamento de superfície, com aplicação de 02 demãos de massa acrílica, lixamento e retoques - Rev 01")</f>
        <v>EMASSAMENTO DE SUPERFÍCIE, COM APLICAÇÃO DE 02 DEMÃOS DE MASSA ACRÍLICA, LIXAMENTO E RETOQUES - REV 01</v>
      </c>
      <c r="D157" s="69" t="s">
        <v>29</v>
      </c>
      <c r="E157" s="55">
        <v>100</v>
      </c>
      <c r="F157" s="96">
        <v>14.23</v>
      </c>
      <c r="G157" s="120">
        <f t="shared" si="9"/>
        <v>1423</v>
      </c>
      <c r="H157" s="48">
        <f t="shared" si="7"/>
        <v>2.0444077988491317E-4</v>
      </c>
      <c r="N157" s="41"/>
    </row>
    <row r="158" spans="1:14" s="40" customFormat="1" ht="36.75" thickBot="1" x14ac:dyDescent="0.3">
      <c r="A158" s="94" t="s">
        <v>361</v>
      </c>
      <c r="B158" s="82">
        <v>84665</v>
      </c>
      <c r="C158" s="107" t="s">
        <v>362</v>
      </c>
      <c r="D158" s="69" t="s">
        <v>148</v>
      </c>
      <c r="E158" s="55">
        <v>500</v>
      </c>
      <c r="F158" s="96">
        <v>22.04</v>
      </c>
      <c r="G158" s="120">
        <f t="shared" si="9"/>
        <v>11020</v>
      </c>
      <c r="H158" s="48">
        <f t="shared" si="7"/>
        <v>1.5832307760588497E-3</v>
      </c>
      <c r="N158" s="41"/>
    </row>
    <row r="159" spans="1:14" s="40" customFormat="1" ht="18.75" thickBot="1" x14ac:dyDescent="0.3">
      <c r="A159" s="42">
        <v>8</v>
      </c>
      <c r="B159" s="90"/>
      <c r="C159" s="71" t="s">
        <v>363</v>
      </c>
      <c r="D159" s="91"/>
      <c r="E159" s="92"/>
      <c r="F159" s="93"/>
      <c r="G159" s="72">
        <f>SUM(G160:G183)</f>
        <v>289907.15000000002</v>
      </c>
      <c r="H159" s="48">
        <f t="shared" si="7"/>
        <v>4.1650628137886517E-2</v>
      </c>
      <c r="N159" s="41"/>
    </row>
    <row r="160" spans="1:14" s="40" customFormat="1" ht="36" customHeight="1" x14ac:dyDescent="0.25">
      <c r="A160" s="94" t="s">
        <v>364</v>
      </c>
      <c r="B160" s="81" t="s">
        <v>365</v>
      </c>
      <c r="C160" s="122" t="str">
        <f>UPPER("Porta em madeira compensada (canela), lisa, semi-ôca, 0.80 x 2.10 m, revestida c/fórmica, inclusive batentes e ferragens")</f>
        <v>PORTA EM MADEIRA COMPENSADA (CANELA), LISA, SEMI-ÔCA, 0.80 X 2.10 M, REVESTIDA C/FÓRMICA, INCLUSIVE BATENTES E FERRAGENS</v>
      </c>
      <c r="D160" s="57" t="s">
        <v>52</v>
      </c>
      <c r="E160" s="60">
        <v>25</v>
      </c>
      <c r="F160" s="60">
        <v>757.43</v>
      </c>
      <c r="G160" s="124">
        <f t="shared" ref="G160:G183" si="10">F160*E160</f>
        <v>18935.75</v>
      </c>
      <c r="H160" s="48">
        <f t="shared" si="7"/>
        <v>2.7204775106856953E-3</v>
      </c>
      <c r="N160" s="41"/>
    </row>
    <row r="161" spans="1:14" s="40" customFormat="1" ht="18" customHeight="1" x14ac:dyDescent="0.25">
      <c r="A161" s="94" t="s">
        <v>366</v>
      </c>
      <c r="B161" s="125" t="s">
        <v>367</v>
      </c>
      <c r="C161" s="126" t="str">
        <f>UPPER("Porta para divisória, dim. 820 x 2110 x 35mm, Naval ou similar")</f>
        <v>PORTA PARA DIVISÓRIA, DIM. 820 X 2110 X 35MM, NAVAL OU SIMILAR</v>
      </c>
      <c r="D161" s="57" t="s">
        <v>52</v>
      </c>
      <c r="E161" s="60">
        <v>50</v>
      </c>
      <c r="F161" s="60">
        <v>331.96</v>
      </c>
      <c r="G161" s="124">
        <f t="shared" si="10"/>
        <v>16598</v>
      </c>
      <c r="H161" s="48">
        <f t="shared" si="7"/>
        <v>2.3846156461909971E-3</v>
      </c>
      <c r="N161" s="41"/>
    </row>
    <row r="162" spans="1:14" s="40" customFormat="1" ht="18" customHeight="1" x14ac:dyDescent="0.25">
      <c r="A162" s="94" t="s">
        <v>368</v>
      </c>
      <c r="B162" s="81" t="s">
        <v>369</v>
      </c>
      <c r="C162" s="122" t="str">
        <f>UPPER("Porta em madeira compensada (canela), lisa, semi-ôca, 0.90 x 2.10 m, revestida c/fórmica, inclusive batentes e ferragens")</f>
        <v>PORTA EM MADEIRA COMPENSADA (CANELA), LISA, SEMI-ÔCA, 0.90 X 2.10 M, REVESTIDA C/FÓRMICA, INCLUSIVE BATENTES E FERRAGENS</v>
      </c>
      <c r="D162" s="57" t="s">
        <v>52</v>
      </c>
      <c r="E162" s="60">
        <v>40</v>
      </c>
      <c r="F162" s="60">
        <v>783.82</v>
      </c>
      <c r="G162" s="124">
        <f t="shared" si="10"/>
        <v>31352.800000000003</v>
      </c>
      <c r="H162" s="48">
        <f t="shared" si="7"/>
        <v>4.5044208598564346E-3</v>
      </c>
      <c r="N162" s="41"/>
    </row>
    <row r="163" spans="1:14" s="40" customFormat="1" ht="18" customHeight="1" x14ac:dyDescent="0.25">
      <c r="A163" s="94" t="s">
        <v>370</v>
      </c>
      <c r="B163" s="81" t="s">
        <v>371</v>
      </c>
      <c r="C163" s="122" t="s">
        <v>372</v>
      </c>
      <c r="D163" s="57" t="s">
        <v>52</v>
      </c>
      <c r="E163" s="60">
        <v>50</v>
      </c>
      <c r="F163" s="60">
        <v>180</v>
      </c>
      <c r="G163" s="124">
        <f t="shared" si="10"/>
        <v>9000</v>
      </c>
      <c r="H163" s="48">
        <f t="shared" si="7"/>
        <v>1.2930196900662113E-3</v>
      </c>
      <c r="N163" s="41"/>
    </row>
    <row r="164" spans="1:14" s="40" customFormat="1" ht="36" x14ac:dyDescent="0.25">
      <c r="A164" s="94" t="s">
        <v>373</v>
      </c>
      <c r="B164" s="79" t="s">
        <v>374</v>
      </c>
      <c r="C164" s="122" t="str">
        <f>UPPER( "Dobradiça de ferro cromado 3 x 2 1/2 com aneis e parafusos")</f>
        <v>DOBRADIÇA DE FERRO CROMADO 3 X 2 1/2 COM ANEIS E PARAFUSOS</v>
      </c>
      <c r="D164" s="57" t="s">
        <v>52</v>
      </c>
      <c r="E164" s="60">
        <v>50</v>
      </c>
      <c r="F164" s="60">
        <v>24.39</v>
      </c>
      <c r="G164" s="124">
        <f t="shared" si="10"/>
        <v>1219.5</v>
      </c>
      <c r="H164" s="48">
        <f t="shared" si="7"/>
        <v>1.7520416800397161E-4</v>
      </c>
      <c r="N164" s="41"/>
    </row>
    <row r="165" spans="1:14" s="40" customFormat="1" ht="36" customHeight="1" x14ac:dyDescent="0.25">
      <c r="A165" s="94" t="s">
        <v>375</v>
      </c>
      <c r="B165" s="79">
        <v>90830</v>
      </c>
      <c r="C165" s="122" t="s">
        <v>376</v>
      </c>
      <c r="D165" s="57" t="s">
        <v>52</v>
      </c>
      <c r="E165" s="60">
        <v>50</v>
      </c>
      <c r="F165" s="60">
        <v>107.58</v>
      </c>
      <c r="G165" s="124">
        <f t="shared" si="10"/>
        <v>5379</v>
      </c>
      <c r="H165" s="48">
        <f t="shared" si="7"/>
        <v>7.7279476809623889E-4</v>
      </c>
      <c r="N165" s="41"/>
    </row>
    <row r="166" spans="1:14" s="40" customFormat="1" ht="36" customHeight="1" x14ac:dyDescent="0.25">
      <c r="A166" s="94" t="s">
        <v>377</v>
      </c>
      <c r="B166" s="79">
        <v>91341</v>
      </c>
      <c r="C166" s="80" t="s">
        <v>378</v>
      </c>
      <c r="D166" s="69" t="s">
        <v>29</v>
      </c>
      <c r="E166" s="55">
        <f>50*0.7*1.7</f>
        <v>59.5</v>
      </c>
      <c r="F166" s="55">
        <v>406.5</v>
      </c>
      <c r="G166" s="124">
        <f t="shared" si="10"/>
        <v>24186.75</v>
      </c>
      <c r="H166" s="48">
        <f t="shared" si="7"/>
        <v>3.4748826654121038E-3</v>
      </c>
      <c r="N166" s="41"/>
    </row>
    <row r="167" spans="1:14" s="40" customFormat="1" ht="36" customHeight="1" x14ac:dyDescent="0.25">
      <c r="A167" s="94" t="s">
        <v>379</v>
      </c>
      <c r="B167" s="125" t="s">
        <v>380</v>
      </c>
      <c r="C167" s="122" t="str">
        <f>UPPER("Janela em alumínio, cor N/P/B, tipo moldura-vidro, max-ar, exclusive vidro")</f>
        <v>JANELA EM ALUMÍNIO, COR N/P/B, TIPO MOLDURA-VIDRO, MAX-AR, EXCLUSIVE VIDRO</v>
      </c>
      <c r="D167" s="57" t="s">
        <v>29</v>
      </c>
      <c r="E167" s="60">
        <v>50</v>
      </c>
      <c r="F167" s="60">
        <v>296.02</v>
      </c>
      <c r="G167" s="124">
        <f t="shared" si="10"/>
        <v>14801</v>
      </c>
      <c r="H167" s="48">
        <f t="shared" si="7"/>
        <v>2.1264427147411101E-3</v>
      </c>
      <c r="N167" s="41"/>
    </row>
    <row r="168" spans="1:14" s="40" customFormat="1" ht="36" customHeight="1" x14ac:dyDescent="0.25">
      <c r="A168" s="94" t="s">
        <v>381</v>
      </c>
      <c r="B168" s="79">
        <v>72118</v>
      </c>
      <c r="C168" s="122" t="s">
        <v>382</v>
      </c>
      <c r="D168" s="57" t="s">
        <v>29</v>
      </c>
      <c r="E168" s="60">
        <v>150</v>
      </c>
      <c r="F168" s="60">
        <v>182.09</v>
      </c>
      <c r="G168" s="124">
        <f t="shared" si="10"/>
        <v>27313.5</v>
      </c>
      <c r="H168" s="48">
        <f t="shared" si="7"/>
        <v>3.9240992560692738E-3</v>
      </c>
      <c r="N168" s="41"/>
    </row>
    <row r="169" spans="1:14" s="40" customFormat="1" ht="36" customHeight="1" x14ac:dyDescent="0.25">
      <c r="A169" s="94" t="s">
        <v>383</v>
      </c>
      <c r="B169" s="79" t="s">
        <v>384</v>
      </c>
      <c r="C169" s="122" t="str">
        <f>UPPER("Vidro temperado 10 mm, liso, transparente, com ferragens")</f>
        <v>VIDRO TEMPERADO 10 MM, LISO, TRANSPARENTE, COM FERRAGENS</v>
      </c>
      <c r="D169" s="57" t="s">
        <v>29</v>
      </c>
      <c r="E169" s="60">
        <v>50</v>
      </c>
      <c r="F169" s="60">
        <v>359.66</v>
      </c>
      <c r="G169" s="124">
        <f t="shared" si="10"/>
        <v>17983</v>
      </c>
      <c r="H169" s="48">
        <f t="shared" si="7"/>
        <v>2.5835970096067416E-3</v>
      </c>
      <c r="N169" s="41"/>
    </row>
    <row r="170" spans="1:14" s="40" customFormat="1" ht="36" customHeight="1" x14ac:dyDescent="0.25">
      <c r="A170" s="94" t="s">
        <v>385</v>
      </c>
      <c r="B170" s="79" t="s">
        <v>386</v>
      </c>
      <c r="C170" s="122" t="str">
        <f>UPPER("Janela em madeira de lei, tipo moldura p/ vidro, de abrir, c/batentes e 2 jogos de alizar, exclusive ferragens e vidros")</f>
        <v>JANELA EM MADEIRA DE LEI, TIPO MOLDURA P/ VIDRO, DE ABRIR, C/BATENTES E 2 JOGOS DE ALIZAR, EXCLUSIVE FERRAGENS E VIDROS</v>
      </c>
      <c r="D170" s="57" t="s">
        <v>29</v>
      </c>
      <c r="E170" s="60">
        <v>30</v>
      </c>
      <c r="F170" s="60">
        <v>487.74</v>
      </c>
      <c r="G170" s="124">
        <f t="shared" si="10"/>
        <v>14632.2</v>
      </c>
      <c r="H170" s="48">
        <f t="shared" si="7"/>
        <v>2.1021914121096461E-3</v>
      </c>
      <c r="N170" s="41"/>
    </row>
    <row r="171" spans="1:14" s="40" customFormat="1" ht="18" customHeight="1" x14ac:dyDescent="0.25">
      <c r="A171" s="94" t="s">
        <v>387</v>
      </c>
      <c r="B171" s="81" t="s">
        <v>388</v>
      </c>
      <c r="C171" s="122" t="s">
        <v>389</v>
      </c>
      <c r="D171" s="57" t="s">
        <v>29</v>
      </c>
      <c r="E171" s="60">
        <v>200</v>
      </c>
      <c r="F171" s="60">
        <v>79.37</v>
      </c>
      <c r="G171" s="124">
        <f t="shared" si="10"/>
        <v>15874</v>
      </c>
      <c r="H171" s="48">
        <f t="shared" si="7"/>
        <v>2.280599395567893E-3</v>
      </c>
      <c r="N171" s="41"/>
    </row>
    <row r="172" spans="1:14" s="40" customFormat="1" ht="18" customHeight="1" x14ac:dyDescent="0.25">
      <c r="A172" s="94" t="s">
        <v>390</v>
      </c>
      <c r="B172" s="81" t="s">
        <v>391</v>
      </c>
      <c r="C172" s="122" t="s">
        <v>392</v>
      </c>
      <c r="D172" s="57" t="s">
        <v>29</v>
      </c>
      <c r="E172" s="60">
        <v>300</v>
      </c>
      <c r="F172" s="60">
        <v>84.08</v>
      </c>
      <c r="G172" s="124">
        <f t="shared" si="10"/>
        <v>25224</v>
      </c>
      <c r="H172" s="48">
        <f t="shared" si="7"/>
        <v>3.6239031846922345E-3</v>
      </c>
      <c r="N172" s="41"/>
    </row>
    <row r="173" spans="1:14" s="40" customFormat="1" ht="18" customHeight="1" x14ac:dyDescent="0.25">
      <c r="A173" s="94" t="s">
        <v>393</v>
      </c>
      <c r="B173" s="81" t="s">
        <v>394</v>
      </c>
      <c r="C173" s="122" t="s">
        <v>395</v>
      </c>
      <c r="D173" s="57" t="s">
        <v>29</v>
      </c>
      <c r="E173" s="60">
        <v>200</v>
      </c>
      <c r="F173" s="60">
        <v>60.35</v>
      </c>
      <c r="G173" s="124">
        <f t="shared" si="10"/>
        <v>12070</v>
      </c>
      <c r="H173" s="48">
        <f t="shared" si="7"/>
        <v>1.7340830732332411E-3</v>
      </c>
      <c r="N173" s="41"/>
    </row>
    <row r="174" spans="1:14" s="40" customFormat="1" ht="18" customHeight="1" x14ac:dyDescent="0.25">
      <c r="A174" s="94" t="s">
        <v>396</v>
      </c>
      <c r="B174" s="81" t="s">
        <v>397</v>
      </c>
      <c r="C174" s="122" t="s">
        <v>398</v>
      </c>
      <c r="D174" s="57" t="s">
        <v>29</v>
      </c>
      <c r="E174" s="60">
        <v>1000</v>
      </c>
      <c r="F174" s="60">
        <v>9.8699999999999992</v>
      </c>
      <c r="G174" s="124">
        <f t="shared" si="10"/>
        <v>9870</v>
      </c>
      <c r="H174" s="48">
        <f t="shared" si="7"/>
        <v>1.4180115934392782E-3</v>
      </c>
      <c r="N174" s="41"/>
    </row>
    <row r="175" spans="1:14" s="40" customFormat="1" ht="36" customHeight="1" x14ac:dyDescent="0.25">
      <c r="A175" s="94" t="s">
        <v>399</v>
      </c>
      <c r="B175" s="81" t="s">
        <v>400</v>
      </c>
      <c r="C175" s="122" t="s">
        <v>401</v>
      </c>
      <c r="D175" s="57" t="s">
        <v>148</v>
      </c>
      <c r="E175" s="60">
        <v>100</v>
      </c>
      <c r="F175" s="60">
        <v>88.17</v>
      </c>
      <c r="G175" s="124">
        <f t="shared" si="10"/>
        <v>8817</v>
      </c>
      <c r="H175" s="48">
        <f t="shared" si="7"/>
        <v>1.2667282897015316E-3</v>
      </c>
      <c r="N175" s="41"/>
    </row>
    <row r="176" spans="1:14" s="40" customFormat="1" ht="36" customHeight="1" x14ac:dyDescent="0.25">
      <c r="A176" s="94" t="s">
        <v>402</v>
      </c>
      <c r="B176" s="81">
        <v>91336</v>
      </c>
      <c r="C176" s="122" t="s">
        <v>403</v>
      </c>
      <c r="D176" s="57" t="s">
        <v>404</v>
      </c>
      <c r="E176" s="60">
        <v>3</v>
      </c>
      <c r="F176" s="60">
        <v>1435.11</v>
      </c>
      <c r="G176" s="124">
        <f t="shared" si="10"/>
        <v>4305.33</v>
      </c>
      <c r="H176" s="48">
        <f t="shared" si="7"/>
        <v>6.185418291369735E-4</v>
      </c>
      <c r="N176" s="41"/>
    </row>
    <row r="177" spans="1:14" s="40" customFormat="1" ht="36" customHeight="1" x14ac:dyDescent="0.25">
      <c r="A177" s="94" t="s">
        <v>405</v>
      </c>
      <c r="B177" s="81">
        <v>90793</v>
      </c>
      <c r="C177" s="122" t="s">
        <v>406</v>
      </c>
      <c r="D177" s="57" t="s">
        <v>404</v>
      </c>
      <c r="E177" s="60">
        <v>10</v>
      </c>
      <c r="F177" s="60">
        <v>493.53</v>
      </c>
      <c r="G177" s="124">
        <f t="shared" si="10"/>
        <v>4935.2999999999993</v>
      </c>
      <c r="H177" s="48">
        <f t="shared" si="7"/>
        <v>7.0904889737597463E-4</v>
      </c>
      <c r="N177" s="41"/>
    </row>
    <row r="178" spans="1:14" s="40" customFormat="1" ht="36" customHeight="1" x14ac:dyDescent="0.25">
      <c r="A178" s="94" t="s">
        <v>407</v>
      </c>
      <c r="B178" s="81" t="s">
        <v>408</v>
      </c>
      <c r="C178" s="122" t="s">
        <v>409</v>
      </c>
      <c r="D178" s="57" t="s">
        <v>404</v>
      </c>
      <c r="E178" s="60">
        <v>1</v>
      </c>
      <c r="F178" s="60">
        <v>733.32</v>
      </c>
      <c r="G178" s="124">
        <f t="shared" si="10"/>
        <v>733.32</v>
      </c>
      <c r="H178" s="48">
        <f t="shared" si="7"/>
        <v>1.053552443465949E-4</v>
      </c>
      <c r="N178" s="41"/>
    </row>
    <row r="179" spans="1:14" s="40" customFormat="1" ht="36" customHeight="1" x14ac:dyDescent="0.25">
      <c r="A179" s="94" t="s">
        <v>410</v>
      </c>
      <c r="B179" s="81" t="s">
        <v>411</v>
      </c>
      <c r="C179" s="122" t="s">
        <v>412</v>
      </c>
      <c r="D179" s="57" t="s">
        <v>404</v>
      </c>
      <c r="E179" s="60">
        <v>5</v>
      </c>
      <c r="F179" s="60">
        <v>835.56</v>
      </c>
      <c r="G179" s="124">
        <f t="shared" si="10"/>
        <v>4177.7999999999993</v>
      </c>
      <c r="H179" s="48">
        <f t="shared" si="7"/>
        <v>6.0021974012873514E-4</v>
      </c>
      <c r="N179" s="41"/>
    </row>
    <row r="180" spans="1:14" s="40" customFormat="1" ht="36" customHeight="1" x14ac:dyDescent="0.25">
      <c r="A180" s="94" t="s">
        <v>413</v>
      </c>
      <c r="B180" s="81" t="s">
        <v>414</v>
      </c>
      <c r="C180" s="122" t="s">
        <v>415</v>
      </c>
      <c r="D180" s="57" t="s">
        <v>148</v>
      </c>
      <c r="E180" s="60">
        <v>10</v>
      </c>
      <c r="F180" s="60">
        <v>358.05</v>
      </c>
      <c r="G180" s="124">
        <f t="shared" si="10"/>
        <v>3580.5</v>
      </c>
      <c r="H180" s="48">
        <f t="shared" si="7"/>
        <v>5.1440633336467432E-4</v>
      </c>
      <c r="N180" s="41"/>
    </row>
    <row r="181" spans="1:14" s="40" customFormat="1" ht="36" customHeight="1" x14ac:dyDescent="0.25">
      <c r="A181" s="94" t="s">
        <v>416</v>
      </c>
      <c r="B181" s="81" t="s">
        <v>417</v>
      </c>
      <c r="C181" s="122" t="str">
        <f>UPPER("Porta em madeira de lei, almofadada, 1.00 x 2.10 m, inclusive batentes e ferragens")</f>
        <v>PORTA EM MADEIRA DE LEI, ALMOFADADA, 1.00 X 2.10 M, INCLUSIVE BATENTES E FERRAGENS</v>
      </c>
      <c r="D181" s="57" t="s">
        <v>404</v>
      </c>
      <c r="E181" s="60">
        <v>5</v>
      </c>
      <c r="F181" s="60">
        <v>1117.18</v>
      </c>
      <c r="G181" s="124">
        <f t="shared" si="10"/>
        <v>5585.9000000000005</v>
      </c>
      <c r="H181" s="48">
        <f t="shared" si="7"/>
        <v>8.0251985408231661E-4</v>
      </c>
      <c r="N181" s="41"/>
    </row>
    <row r="182" spans="1:14" s="40" customFormat="1" ht="36" customHeight="1" x14ac:dyDescent="0.25">
      <c r="A182" s="94" t="s">
        <v>418</v>
      </c>
      <c r="B182" s="81">
        <v>90838</v>
      </c>
      <c r="C182" s="122" t="s">
        <v>419</v>
      </c>
      <c r="D182" s="57" t="s">
        <v>404</v>
      </c>
      <c r="E182" s="60">
        <v>10</v>
      </c>
      <c r="F182" s="60">
        <v>701.27</v>
      </c>
      <c r="G182" s="124">
        <f t="shared" si="10"/>
        <v>7012.7</v>
      </c>
      <c r="H182" s="48">
        <f t="shared" si="7"/>
        <v>1.0075065756141467E-3</v>
      </c>
      <c r="N182" s="41"/>
    </row>
    <row r="183" spans="1:14" s="40" customFormat="1" ht="36" customHeight="1" thickBot="1" x14ac:dyDescent="0.3">
      <c r="A183" s="94" t="s">
        <v>420</v>
      </c>
      <c r="B183" s="117" t="s">
        <v>421</v>
      </c>
      <c r="C183" s="123" t="s">
        <v>422</v>
      </c>
      <c r="D183" s="105" t="s">
        <v>148</v>
      </c>
      <c r="E183" s="109">
        <v>30</v>
      </c>
      <c r="F183" s="109">
        <v>210.66</v>
      </c>
      <c r="G183" s="124">
        <f t="shared" si="10"/>
        <v>6319.8</v>
      </c>
      <c r="H183" s="48">
        <f t="shared" si="7"/>
        <v>9.0795842636449357E-4</v>
      </c>
      <c r="N183" s="41"/>
    </row>
    <row r="184" spans="1:14" s="40" customFormat="1" ht="18.75" thickBot="1" x14ac:dyDescent="0.3">
      <c r="A184" s="42">
        <v>9</v>
      </c>
      <c r="B184" s="90"/>
      <c r="C184" s="71" t="s">
        <v>423</v>
      </c>
      <c r="D184" s="91"/>
      <c r="E184" s="92"/>
      <c r="F184" s="93"/>
      <c r="G184" s="72">
        <f>SUM(G185:G193)</f>
        <v>209508</v>
      </c>
      <c r="H184" s="48">
        <f t="shared" si="7"/>
        <v>3.0099774358487975E-2</v>
      </c>
      <c r="J184" s="127"/>
      <c r="N184" s="41"/>
    </row>
    <row r="185" spans="1:14" s="40" customFormat="1" ht="36" customHeight="1" x14ac:dyDescent="0.25">
      <c r="A185" s="94" t="s">
        <v>424</v>
      </c>
      <c r="B185" s="81" t="s">
        <v>425</v>
      </c>
      <c r="C185" s="123" t="str">
        <f>UPPER("Corrimão em tubo de aço galvanizado 2 1/2, com chumbadores para fixação em alvenaria")</f>
        <v>CORRIMÃO EM TUBO DE AÇO GALVANIZADO 2 1/2, COM CHUMBADORES PARA FIXAÇÃO EM ALVENARIA</v>
      </c>
      <c r="D185" s="119" t="s">
        <v>38</v>
      </c>
      <c r="E185" s="109">
        <v>250</v>
      </c>
      <c r="F185" s="109">
        <v>70.45</v>
      </c>
      <c r="G185" s="120">
        <f t="shared" ref="G185:G193" si="11">F185*E185</f>
        <v>17612.5</v>
      </c>
      <c r="H185" s="48">
        <f t="shared" si="7"/>
        <v>2.5303676990323493E-3</v>
      </c>
      <c r="I185" s="128"/>
      <c r="N185" s="41"/>
    </row>
    <row r="186" spans="1:14" s="40" customFormat="1" ht="36" x14ac:dyDescent="0.25">
      <c r="A186" s="94" t="s">
        <v>426</v>
      </c>
      <c r="B186" s="81">
        <v>99837</v>
      </c>
      <c r="C186" s="123" t="s">
        <v>427</v>
      </c>
      <c r="D186" s="119" t="s">
        <v>38</v>
      </c>
      <c r="E186" s="109">
        <v>100</v>
      </c>
      <c r="F186" s="109">
        <v>461.4</v>
      </c>
      <c r="G186" s="120">
        <f t="shared" si="11"/>
        <v>46140</v>
      </c>
      <c r="H186" s="48">
        <f t="shared" si="7"/>
        <v>6.6288809444061099E-3</v>
      </c>
      <c r="I186" s="128"/>
      <c r="N186" s="41"/>
    </row>
    <row r="187" spans="1:14" s="40" customFormat="1" ht="54" x14ac:dyDescent="0.25">
      <c r="A187" s="94" t="s">
        <v>428</v>
      </c>
      <c r="B187" s="81" t="s">
        <v>429</v>
      </c>
      <c r="C187" s="123" t="str">
        <f>UPPER("Guarda-corpo em tubo de aço inox ø=1 1/2, duplo, com montantes e fechamento em tubo inox ø=1 1/2, h=96cm, c/acabamento polido, p/fixação em piso")</f>
        <v>GUARDA-CORPO EM TUBO DE AÇO INOX Ø=1 1/2, DUPLO, COM MONTANTES E FECHAMENTO EM TUBO INOX Ø=1 1/2, H=96CM, C/ACABAMENTO POLIDO, P/FIXAÇÃO EM PISO</v>
      </c>
      <c r="D187" s="69" t="s">
        <v>38</v>
      </c>
      <c r="E187" s="109">
        <v>50</v>
      </c>
      <c r="F187" s="109">
        <v>638.23</v>
      </c>
      <c r="G187" s="120">
        <f t="shared" si="11"/>
        <v>31911.5</v>
      </c>
      <c r="H187" s="48">
        <f t="shared" si="7"/>
        <v>4.5846886488386555E-3</v>
      </c>
      <c r="I187" s="128"/>
      <c r="N187" s="41"/>
    </row>
    <row r="188" spans="1:14" s="40" customFormat="1" ht="18" x14ac:dyDescent="0.25">
      <c r="A188" s="94" t="s">
        <v>430</v>
      </c>
      <c r="B188" s="81" t="s">
        <v>388</v>
      </c>
      <c r="C188" s="123" t="s">
        <v>431</v>
      </c>
      <c r="D188" s="69" t="s">
        <v>29</v>
      </c>
      <c r="E188" s="109">
        <v>250</v>
      </c>
      <c r="F188" s="109">
        <v>79.37</v>
      </c>
      <c r="G188" s="120">
        <f t="shared" si="11"/>
        <v>19842.5</v>
      </c>
      <c r="H188" s="48">
        <f t="shared" si="7"/>
        <v>2.8507492444598661E-3</v>
      </c>
      <c r="I188" s="128"/>
      <c r="N188" s="41"/>
    </row>
    <row r="189" spans="1:14" s="40" customFormat="1" ht="36" x14ac:dyDescent="0.25">
      <c r="A189" s="94" t="s">
        <v>432</v>
      </c>
      <c r="B189" s="81" t="s">
        <v>433</v>
      </c>
      <c r="C189" s="123" t="s">
        <v>434</v>
      </c>
      <c r="D189" s="69" t="s">
        <v>29</v>
      </c>
      <c r="E189" s="109">
        <v>100</v>
      </c>
      <c r="F189" s="109">
        <v>298.8</v>
      </c>
      <c r="G189" s="120">
        <f t="shared" si="11"/>
        <v>29880</v>
      </c>
      <c r="H189" s="48">
        <f t="shared" si="7"/>
        <v>4.2928253710198209E-3</v>
      </c>
      <c r="I189" s="128"/>
      <c r="N189" s="41"/>
    </row>
    <row r="190" spans="1:14" s="40" customFormat="1" ht="54" x14ac:dyDescent="0.25">
      <c r="A190" s="94" t="s">
        <v>435</v>
      </c>
      <c r="B190" s="81" t="s">
        <v>436</v>
      </c>
      <c r="C190" s="123" t="str">
        <f>UPPER("Concertina em aço galvanizado, espiral de Ø = 610mm, 3 clipes p/ espiral, lâmina de 30mm e fio interno de 2,50mm, incluisive instalação")</f>
        <v>CONCERTINA EM AÇO GALVANIZADO, ESPIRAL DE Ø = 610MM, 3 CLIPES P/ ESPIRAL, LÂMINA DE 30MM E FIO INTERNO DE 2,50MM, INCLUISIVE INSTALAÇÃO</v>
      </c>
      <c r="D190" s="69" t="s">
        <v>38</v>
      </c>
      <c r="E190" s="109">
        <v>200</v>
      </c>
      <c r="F190" s="109">
        <v>35</v>
      </c>
      <c r="G190" s="120">
        <f t="shared" si="11"/>
        <v>7000</v>
      </c>
      <c r="H190" s="48">
        <f t="shared" si="7"/>
        <v>1.0056819811626086E-3</v>
      </c>
      <c r="I190" s="128"/>
      <c r="N190" s="41"/>
    </row>
    <row r="191" spans="1:14" s="40" customFormat="1" ht="18" x14ac:dyDescent="0.25">
      <c r="A191" s="94" t="s">
        <v>437</v>
      </c>
      <c r="B191" s="81" t="s">
        <v>438</v>
      </c>
      <c r="C191" s="108" t="s">
        <v>439</v>
      </c>
      <c r="D191" s="69" t="s">
        <v>29</v>
      </c>
      <c r="E191" s="109">
        <v>50</v>
      </c>
      <c r="F191" s="109">
        <v>400.99</v>
      </c>
      <c r="G191" s="120">
        <f t="shared" si="11"/>
        <v>20049.5</v>
      </c>
      <c r="H191" s="48">
        <f t="shared" si="7"/>
        <v>2.8804886973313889E-3</v>
      </c>
      <c r="I191" s="128"/>
      <c r="N191" s="41"/>
    </row>
    <row r="192" spans="1:14" s="40" customFormat="1" ht="36" x14ac:dyDescent="0.25">
      <c r="A192" s="94" t="s">
        <v>440</v>
      </c>
      <c r="B192" s="81" t="s">
        <v>441</v>
      </c>
      <c r="C192" s="123" t="str">
        <f>UPPER( "Grade de ferro c/ gradil em barra chata 3/4 x 1/8, inclusive ferrolho e dobradiças" )</f>
        <v>GRADE DE FERRO C/ GRADIL EM BARRA CHATA 3/4 X 1/8, INCLUSIVE FERROLHO E DOBRADIÇAS</v>
      </c>
      <c r="D192" s="69" t="s">
        <v>29</v>
      </c>
      <c r="E192" s="109">
        <v>50</v>
      </c>
      <c r="F192" s="109">
        <v>389.52</v>
      </c>
      <c r="G192" s="120">
        <f t="shared" si="11"/>
        <v>19476</v>
      </c>
      <c r="H192" s="48">
        <f t="shared" si="7"/>
        <v>2.7980946093032811E-3</v>
      </c>
      <c r="I192" s="128"/>
      <c r="N192" s="41"/>
    </row>
    <row r="193" spans="1:14" s="40" customFormat="1" ht="18.75" thickBot="1" x14ac:dyDescent="0.3">
      <c r="A193" s="94" t="s">
        <v>442</v>
      </c>
      <c r="B193" s="117" t="s">
        <v>443</v>
      </c>
      <c r="C193" s="123" t="str">
        <f>UPPER("Corrimão em aço inox, escovado, d=1 1/2")</f>
        <v>CORRIMÃO EM AÇO INOX, ESCOVADO, D=1 1/2</v>
      </c>
      <c r="D193" s="129" t="s">
        <v>38</v>
      </c>
      <c r="E193" s="109">
        <v>200</v>
      </c>
      <c r="F193" s="109">
        <v>87.98</v>
      </c>
      <c r="G193" s="120">
        <f t="shared" si="11"/>
        <v>17596</v>
      </c>
      <c r="H193" s="48">
        <f t="shared" si="7"/>
        <v>2.5279971629338948E-3</v>
      </c>
      <c r="I193" s="128"/>
      <c r="N193" s="41"/>
    </row>
    <row r="194" spans="1:14" s="40" customFormat="1" ht="18.75" thickBot="1" x14ac:dyDescent="0.3">
      <c r="A194" s="42">
        <v>10</v>
      </c>
      <c r="B194" s="90"/>
      <c r="C194" s="71" t="s">
        <v>444</v>
      </c>
      <c r="D194" s="91"/>
      <c r="E194" s="92"/>
      <c r="F194" s="93"/>
      <c r="G194" s="72">
        <f>SUM(G195:G231)</f>
        <v>292050.06</v>
      </c>
      <c r="H194" s="48">
        <f t="shared" si="7"/>
        <v>4.195849756277982E-2</v>
      </c>
      <c r="N194" s="41"/>
    </row>
    <row r="195" spans="1:14" s="40" customFormat="1" ht="36" x14ac:dyDescent="0.25">
      <c r="A195" s="50" t="s">
        <v>445</v>
      </c>
      <c r="B195" s="81" t="s">
        <v>446</v>
      </c>
      <c r="C195" s="123" t="str">
        <f>UPPER("Tanque em aço inox, incluso torneira cromada e sifão PVC")</f>
        <v>TANQUE EM AÇO INOX, INCLUSO TORNEIRA CROMADA E SIFÃO PVC</v>
      </c>
      <c r="D195" s="119" t="s">
        <v>52</v>
      </c>
      <c r="E195" s="109">
        <v>20</v>
      </c>
      <c r="F195" s="109">
        <v>450.59</v>
      </c>
      <c r="G195" s="124">
        <f t="shared" ref="G195:G231" si="12">F195*E195</f>
        <v>9011.7999999999993</v>
      </c>
      <c r="H195" s="48">
        <f t="shared" si="7"/>
        <v>1.2947149825487424E-3</v>
      </c>
      <c r="N195" s="41"/>
    </row>
    <row r="196" spans="1:14" s="40" customFormat="1" ht="90" x14ac:dyDescent="0.25">
      <c r="A196" s="50" t="s">
        <v>447</v>
      </c>
      <c r="B196" s="81" t="s">
        <v>448</v>
      </c>
      <c r="C196" s="123" t="str">
        <f>UPPER("Lavatório louça (Deca-Monte Carlo, ref L-81) com coluna SUSPENSA, c/ sifão plástico, engate cromado (deca), válvula cromada (deca ref1600) , conj. de fixação (deca ref sp7) ou similares, exclusive torneira")</f>
        <v>LAVATÓRIO LOUÇA (DECA-MONTE CARLO, REF L-81) COM COLUNA SUSPENSA, C/ SIFÃO PLÁSTICO, ENGATE CROMADO (DECA), VÁLVULA CROMADA (DECA REF1600) , CONJ. DE FIXAÇÃO (DECA REF SP7) OU SIMILARES, EXCLUSIVE TORNEIRA</v>
      </c>
      <c r="D196" s="119" t="s">
        <v>52</v>
      </c>
      <c r="E196" s="109">
        <v>25</v>
      </c>
      <c r="F196" s="109">
        <v>532.95000000000005</v>
      </c>
      <c r="G196" s="124">
        <f t="shared" si="12"/>
        <v>13323.750000000002</v>
      </c>
      <c r="H196" s="48">
        <f t="shared" si="7"/>
        <v>1.9142078995021872E-3</v>
      </c>
      <c r="N196" s="41"/>
    </row>
    <row r="197" spans="1:14" s="40" customFormat="1" ht="36" x14ac:dyDescent="0.25">
      <c r="A197" s="50" t="s">
        <v>449</v>
      </c>
      <c r="B197" s="81" t="s">
        <v>450</v>
      </c>
      <c r="C197" s="123" t="str">
        <f>UPPER("Torneira cromada para lavatório, DECA 1170C (Decamatic) ou similar")</f>
        <v>TORNEIRA CROMADA PARA LAVATÓRIO, DECA 1170C (DECAMATIC) OU SIMILAR</v>
      </c>
      <c r="D197" s="69" t="s">
        <v>52</v>
      </c>
      <c r="E197" s="109">
        <v>50</v>
      </c>
      <c r="F197" s="109">
        <v>259.58999999999997</v>
      </c>
      <c r="G197" s="124">
        <f t="shared" si="12"/>
        <v>12979.499999999998</v>
      </c>
      <c r="H197" s="48">
        <f t="shared" ref="H197:H260" si="13">G197/$G$602</f>
        <v>1.864749896357154E-3</v>
      </c>
      <c r="N197" s="41"/>
    </row>
    <row r="198" spans="1:14" s="40" customFormat="1" ht="72" x14ac:dyDescent="0.25">
      <c r="A198" s="50" t="s">
        <v>451</v>
      </c>
      <c r="B198" s="79" t="s">
        <v>452</v>
      </c>
      <c r="C198" s="123" t="str">
        <f>UPPER("Vaso sanitario , linha monte carlo  DECA ou similar, inclusive assento monte carlo AP-80 ou similar, conj. de fixação DECA SP13 ou similar, anel de vedação e engate plástico")</f>
        <v>VASO SANITARIO , LINHA MONTE CARLO  DECA OU SIMILAR, INCLUSIVE ASSENTO MONTE CARLO AP-80 OU SIMILAR, CONJ. DE FIXAÇÃO DECA SP13 OU SIMILAR, ANEL DE VEDAÇÃO E ENGATE PLÁSTICO</v>
      </c>
      <c r="D198" s="69" t="s">
        <v>52</v>
      </c>
      <c r="E198" s="109">
        <v>20</v>
      </c>
      <c r="F198" s="109">
        <f>1172.45-934.9+296.37</f>
        <v>533.92000000000007</v>
      </c>
      <c r="G198" s="124">
        <f t="shared" si="12"/>
        <v>10678.400000000001</v>
      </c>
      <c r="H198" s="48">
        <f t="shared" si="13"/>
        <v>1.5341534953781147E-3</v>
      </c>
      <c r="N198" s="41"/>
    </row>
    <row r="199" spans="1:14" s="40" customFormat="1" ht="54" x14ac:dyDescent="0.25">
      <c r="A199" s="50" t="s">
        <v>453</v>
      </c>
      <c r="B199" s="79" t="s">
        <v>454</v>
      </c>
      <c r="C199" s="123" t="str">
        <f>UPPER("Vaso sanitário, linha vogue plus conforto P.510.17, sem abertura frontal, DECA ou similar, exclusive caixa óu válvula de descarga")</f>
        <v>VASO SANITÁRIO, LINHA VOGUE PLUS CONFORTO P.510.17, SEM ABERTURA FRONTAL, DECA OU SIMILAR, EXCLUSIVE CAIXA ÓU VÁLVULA DE DESCARGA</v>
      </c>
      <c r="D199" s="69" t="s">
        <v>52</v>
      </c>
      <c r="E199" s="109">
        <v>15</v>
      </c>
      <c r="F199" s="109">
        <v>883.25</v>
      </c>
      <c r="G199" s="124">
        <f t="shared" si="12"/>
        <v>13248.75</v>
      </c>
      <c r="H199" s="48">
        <f t="shared" si="13"/>
        <v>1.9034327354183018E-3</v>
      </c>
      <c r="N199" s="41"/>
    </row>
    <row r="200" spans="1:14" s="40" customFormat="1" ht="36" x14ac:dyDescent="0.25">
      <c r="A200" s="50" t="s">
        <v>455</v>
      </c>
      <c r="B200" s="79" t="s">
        <v>456</v>
      </c>
      <c r="C200" s="123" t="str">
        <f>UPPER("Assento para vaso sanitário , linha vogue plus AP50, da DECA (ou similar)")</f>
        <v>ASSENTO PARA VASO SANITÁRIO , LINHA VOGUE PLUS AP50, DA DECA (OU SIMILAR)</v>
      </c>
      <c r="D200" s="69" t="s">
        <v>52</v>
      </c>
      <c r="E200" s="109">
        <v>40</v>
      </c>
      <c r="F200" s="109">
        <v>153.9</v>
      </c>
      <c r="G200" s="124">
        <f t="shared" si="12"/>
        <v>6156</v>
      </c>
      <c r="H200" s="48">
        <f t="shared" si="13"/>
        <v>8.8442546800528848E-4</v>
      </c>
      <c r="N200" s="41"/>
    </row>
    <row r="201" spans="1:14" s="40" customFormat="1" ht="36" x14ac:dyDescent="0.25">
      <c r="A201" s="50" t="s">
        <v>457</v>
      </c>
      <c r="B201" s="79" t="s">
        <v>458</v>
      </c>
      <c r="C201" s="108" t="str">
        <f>UPPER("Assento plastico, universal, branco, para vaso sanitario, tipo convencional.")</f>
        <v>ASSENTO PLASTICO, UNIVERSAL, BRANCO, PARA VASO SANITARIO, TIPO CONVENCIONAL.</v>
      </c>
      <c r="D201" s="69" t="s">
        <v>52</v>
      </c>
      <c r="E201" s="109">
        <v>50</v>
      </c>
      <c r="F201" s="109">
        <v>36.020000000000003</v>
      </c>
      <c r="G201" s="124">
        <f t="shared" si="12"/>
        <v>1801.0000000000002</v>
      </c>
      <c r="H201" s="48">
        <f t="shared" si="13"/>
        <v>2.587476068676941E-4</v>
      </c>
      <c r="N201" s="41"/>
    </row>
    <row r="202" spans="1:14" s="40" customFormat="1" ht="36" x14ac:dyDescent="0.25">
      <c r="A202" s="50" t="s">
        <v>459</v>
      </c>
      <c r="B202" s="79" t="s">
        <v>460</v>
      </c>
      <c r="C202" s="108" t="s">
        <v>461</v>
      </c>
      <c r="D202" s="69" t="s">
        <v>52</v>
      </c>
      <c r="E202" s="109">
        <v>20</v>
      </c>
      <c r="F202" s="109">
        <f>195.44-118.63+339</f>
        <v>415.81</v>
      </c>
      <c r="G202" s="124">
        <f t="shared" si="12"/>
        <v>8316.2000000000007</v>
      </c>
      <c r="H202" s="48">
        <f t="shared" si="13"/>
        <v>1.1947789273920697E-3</v>
      </c>
      <c r="N202" s="41"/>
    </row>
    <row r="203" spans="1:14" s="40" customFormat="1" ht="54" x14ac:dyDescent="0.25">
      <c r="A203" s="50" t="s">
        <v>462</v>
      </c>
      <c r="B203" s="81" t="s">
        <v>463</v>
      </c>
      <c r="C203" s="108" t="str">
        <f>UPPER("Canopla, ACABAMENTO  PARA VÁLVULA DE DESCARGA EM ALAVANCA  LINHA ECO CONFORTO, DECA OU SIMILAR, para válvula de descarga para deficiente")</f>
        <v>CANOPLA, ACABAMENTO  PARA VÁLVULA DE DESCARGA EM ALAVANCA  LINHA ECO CONFORTO, DECA OU SIMILAR, PARA VÁLVULA DE DESCARGA PARA DEFICIENTE</v>
      </c>
      <c r="D203" s="69" t="s">
        <v>52</v>
      </c>
      <c r="E203" s="109">
        <v>10</v>
      </c>
      <c r="F203" s="109">
        <v>492.93</v>
      </c>
      <c r="G203" s="124">
        <f t="shared" si="12"/>
        <v>4929.3</v>
      </c>
      <c r="H203" s="48">
        <f t="shared" si="13"/>
        <v>7.0818688424926395E-4</v>
      </c>
      <c r="N203" s="41"/>
    </row>
    <row r="204" spans="1:14" s="40" customFormat="1" ht="18" x14ac:dyDescent="0.25">
      <c r="A204" s="50" t="s">
        <v>464</v>
      </c>
      <c r="B204" s="81" t="s">
        <v>465</v>
      </c>
      <c r="C204" s="108" t="s">
        <v>466</v>
      </c>
      <c r="D204" s="69" t="s">
        <v>29</v>
      </c>
      <c r="E204" s="109">
        <v>300</v>
      </c>
      <c r="F204" s="109">
        <v>271.77</v>
      </c>
      <c r="G204" s="124">
        <f t="shared" si="12"/>
        <v>81531</v>
      </c>
      <c r="H204" s="48">
        <f t="shared" si="13"/>
        <v>1.1713465372309807E-2</v>
      </c>
      <c r="N204" s="41"/>
    </row>
    <row r="205" spans="1:14" s="40" customFormat="1" ht="72" x14ac:dyDescent="0.25">
      <c r="A205" s="50" t="s">
        <v>467</v>
      </c>
      <c r="B205" s="81">
        <v>86900</v>
      </c>
      <c r="C205" s="108" t="str">
        <f>UPPER("Cuba de aço inox 304, dimensões 34 x 56 x 17cm, para instalação em bancada, c/válvula cromada 3 1/2, ref.94024-207, Tramontina ou similar, exclusive sifão, torneira e engate")</f>
        <v>CUBA DE AÇO INOX 304, DIMENSÕES 34 X 56 X 17CM, PARA INSTALAÇÃO EM BANCADA, C/VÁLVULA CROMADA 3 1/2, REF.94024-207, TRAMONTINA OU SIMILAR, EXCLUSIVE SIFÃO, TORNEIRA E ENGATE</v>
      </c>
      <c r="D205" s="69" t="s">
        <v>52</v>
      </c>
      <c r="E205" s="109">
        <v>20</v>
      </c>
      <c r="F205" s="109">
        <v>137.53</v>
      </c>
      <c r="G205" s="124">
        <f t="shared" si="12"/>
        <v>2750.6</v>
      </c>
      <c r="H205" s="48">
        <f t="shared" si="13"/>
        <v>3.9517555105512449E-4</v>
      </c>
      <c r="N205" s="41"/>
    </row>
    <row r="206" spans="1:14" s="40" customFormat="1" ht="36" x14ac:dyDescent="0.25">
      <c r="A206" s="50" t="s">
        <v>468</v>
      </c>
      <c r="B206" s="81">
        <v>86910</v>
      </c>
      <c r="C206" s="108" t="s">
        <v>469</v>
      </c>
      <c r="D206" s="69" t="s">
        <v>52</v>
      </c>
      <c r="E206" s="109">
        <v>100</v>
      </c>
      <c r="F206" s="109">
        <v>84.84</v>
      </c>
      <c r="G206" s="124">
        <f t="shared" si="12"/>
        <v>8484</v>
      </c>
      <c r="H206" s="48">
        <f t="shared" si="13"/>
        <v>1.2188865611690819E-3</v>
      </c>
      <c r="N206" s="41"/>
    </row>
    <row r="207" spans="1:14" s="40" customFormat="1" ht="36" x14ac:dyDescent="0.25">
      <c r="A207" s="50" t="s">
        <v>470</v>
      </c>
      <c r="B207" s="81">
        <v>86881</v>
      </c>
      <c r="C207" s="108" t="s">
        <v>471</v>
      </c>
      <c r="D207" s="69" t="s">
        <v>52</v>
      </c>
      <c r="E207" s="109">
        <v>50</v>
      </c>
      <c r="F207" s="109">
        <v>127.89</v>
      </c>
      <c r="G207" s="124">
        <f t="shared" si="12"/>
        <v>6394.5</v>
      </c>
      <c r="H207" s="48">
        <f t="shared" si="13"/>
        <v>9.1869048979204308E-4</v>
      </c>
      <c r="N207" s="41"/>
    </row>
    <row r="208" spans="1:14" s="40" customFormat="1" ht="36" x14ac:dyDescent="0.25">
      <c r="A208" s="50" t="s">
        <v>472</v>
      </c>
      <c r="B208" s="81">
        <v>86882</v>
      </c>
      <c r="C208" s="108" t="s">
        <v>473</v>
      </c>
      <c r="D208" s="69" t="s">
        <v>52</v>
      </c>
      <c r="E208" s="109">
        <v>100</v>
      </c>
      <c r="F208" s="109">
        <v>15.86</v>
      </c>
      <c r="G208" s="124">
        <f t="shared" si="12"/>
        <v>1586</v>
      </c>
      <c r="H208" s="48">
        <f t="shared" si="13"/>
        <v>2.2785880316055678E-4</v>
      </c>
      <c r="N208" s="41"/>
    </row>
    <row r="209" spans="1:14" s="40" customFormat="1" ht="36" x14ac:dyDescent="0.25">
      <c r="A209" s="50" t="s">
        <v>474</v>
      </c>
      <c r="B209" s="81">
        <v>86883</v>
      </c>
      <c r="C209" s="108" t="s">
        <v>475</v>
      </c>
      <c r="D209" s="69" t="s">
        <v>52</v>
      </c>
      <c r="E209" s="109">
        <v>100</v>
      </c>
      <c r="F209" s="109">
        <v>9.1199999999999992</v>
      </c>
      <c r="G209" s="124">
        <f t="shared" si="12"/>
        <v>911.99999999999989</v>
      </c>
      <c r="H209" s="48">
        <f t="shared" si="13"/>
        <v>1.3102599526004273E-4</v>
      </c>
      <c r="N209" s="41"/>
    </row>
    <row r="210" spans="1:14" s="40" customFormat="1" ht="72" x14ac:dyDescent="0.25">
      <c r="A210" s="50" t="s">
        <v>476</v>
      </c>
      <c r="B210" s="81" t="s">
        <v>477</v>
      </c>
      <c r="C210" s="108" t="str">
        <f>UPPER("Pia de cozinha com bancada em granito cinza andorinha, e = 2cm, dim 1,20x0.60, com 01 cuba de aço inox, sifão cromado, válvula cromada, torneira em aço inox, inclusive rodopia 10 cm, assentada.")</f>
        <v>PIA DE COZINHA COM BANCADA EM GRANITO CINZA ANDORINHA, E = 2CM, DIM 1,20X0.60, COM 01 CUBA DE AÇO INOX, SIFÃO CROMADO, VÁLVULA CROMADA, TORNEIRA EM AÇO INOX, INCLUSIVE RODOPIA 10 CM, ASSENTADA.</v>
      </c>
      <c r="D210" s="69" t="s">
        <v>52</v>
      </c>
      <c r="E210" s="109">
        <v>10</v>
      </c>
      <c r="F210" s="109">
        <v>975.57</v>
      </c>
      <c r="G210" s="124">
        <f t="shared" si="12"/>
        <v>9755.7000000000007</v>
      </c>
      <c r="H210" s="48">
        <f t="shared" si="13"/>
        <v>1.4015902433754375E-3</v>
      </c>
      <c r="N210" s="41"/>
    </row>
    <row r="211" spans="1:14" s="40" customFormat="1" ht="36" x14ac:dyDescent="0.25">
      <c r="A211" s="50" t="s">
        <v>478</v>
      </c>
      <c r="B211" s="79" t="s">
        <v>479</v>
      </c>
      <c r="C211" s="108" t="s">
        <v>480</v>
      </c>
      <c r="D211" s="69" t="s">
        <v>52</v>
      </c>
      <c r="E211" s="109">
        <v>25</v>
      </c>
      <c r="F211" s="109">
        <f>[1]COMPOSIÇÕES!H38</f>
        <v>293.91680000000002</v>
      </c>
      <c r="G211" s="124">
        <f t="shared" si="12"/>
        <v>7347.920000000001</v>
      </c>
      <c r="H211" s="48">
        <f t="shared" si="13"/>
        <v>1.0556672490034797E-3</v>
      </c>
      <c r="N211" s="41"/>
    </row>
    <row r="212" spans="1:14" s="40" customFormat="1" ht="18" x14ac:dyDescent="0.25">
      <c r="A212" s="50" t="s">
        <v>481</v>
      </c>
      <c r="B212" s="79" t="s">
        <v>482</v>
      </c>
      <c r="C212" s="108" t="s">
        <v>483</v>
      </c>
      <c r="D212" s="69" t="s">
        <v>52</v>
      </c>
      <c r="E212" s="109">
        <v>20</v>
      </c>
      <c r="F212" s="109">
        <v>109.96</v>
      </c>
      <c r="G212" s="124">
        <f t="shared" si="12"/>
        <v>2199.1999999999998</v>
      </c>
      <c r="H212" s="48">
        <f t="shared" si="13"/>
        <v>3.1595654471040129E-4</v>
      </c>
      <c r="N212" s="41"/>
    </row>
    <row r="213" spans="1:14" s="40" customFormat="1" ht="54" x14ac:dyDescent="0.25">
      <c r="A213" s="50" t="s">
        <v>484</v>
      </c>
      <c r="B213" s="79" t="s">
        <v>485</v>
      </c>
      <c r="C213" s="108" t="str">
        <f>UPPER("Barra de apoio, para lavatório,fixa, constituida de duas barras laterais em U, em aço inox, d=1 1/4, Jackwal ou similar")</f>
        <v>BARRA DE APOIO, PARA LAVATÓRIO,FIXA, CONSTITUIDA DE DUAS BARRAS LATERAIS EM U, EM AÇO INOX, D=1 1/4, JACKWAL OU SIMILAR</v>
      </c>
      <c r="D213" s="69" t="s">
        <v>486</v>
      </c>
      <c r="E213" s="109">
        <v>20</v>
      </c>
      <c r="F213" s="109">
        <v>484.96</v>
      </c>
      <c r="G213" s="124">
        <f t="shared" si="12"/>
        <v>9699.1999999999989</v>
      </c>
      <c r="H213" s="48">
        <f t="shared" si="13"/>
        <v>1.3934729530989105E-3</v>
      </c>
      <c r="N213" s="41"/>
    </row>
    <row r="214" spans="1:14" s="40" customFormat="1" ht="54" x14ac:dyDescent="0.25">
      <c r="A214" s="50" t="s">
        <v>487</v>
      </c>
      <c r="B214" s="79">
        <v>100868</v>
      </c>
      <c r="C214" s="108" t="s">
        <v>488</v>
      </c>
      <c r="D214" s="69" t="s">
        <v>52</v>
      </c>
      <c r="E214" s="109">
        <v>20</v>
      </c>
      <c r="F214" s="109">
        <v>238.12</v>
      </c>
      <c r="G214" s="124">
        <f t="shared" si="12"/>
        <v>4762.3999999999996</v>
      </c>
      <c r="H214" s="48">
        <f t="shared" si="13"/>
        <v>6.8420855244125816E-4</v>
      </c>
      <c r="N214" s="41"/>
    </row>
    <row r="215" spans="1:14" s="40" customFormat="1" ht="36" x14ac:dyDescent="0.25">
      <c r="A215" s="50" t="s">
        <v>489</v>
      </c>
      <c r="B215" s="79">
        <v>100867</v>
      </c>
      <c r="C215" s="108" t="s">
        <v>490</v>
      </c>
      <c r="D215" s="69" t="s">
        <v>52</v>
      </c>
      <c r="E215" s="109">
        <v>20</v>
      </c>
      <c r="F215" s="109">
        <v>228.32</v>
      </c>
      <c r="G215" s="124">
        <f t="shared" si="12"/>
        <v>4566.3999999999996</v>
      </c>
      <c r="H215" s="48">
        <f t="shared" si="13"/>
        <v>6.5604945696870519E-4</v>
      </c>
      <c r="N215" s="41"/>
    </row>
    <row r="216" spans="1:14" s="40" customFormat="1" ht="36" x14ac:dyDescent="0.25">
      <c r="A216" s="50" t="s">
        <v>491</v>
      </c>
      <c r="B216" s="79">
        <v>100866</v>
      </c>
      <c r="C216" s="108" t="s">
        <v>492</v>
      </c>
      <c r="D216" s="69" t="s">
        <v>52</v>
      </c>
      <c r="E216" s="109">
        <v>20</v>
      </c>
      <c r="F216" s="109">
        <v>213.6</v>
      </c>
      <c r="G216" s="124">
        <f t="shared" si="12"/>
        <v>4272</v>
      </c>
      <c r="H216" s="48">
        <f t="shared" si="13"/>
        <v>6.1375334621809497E-4</v>
      </c>
      <c r="N216" s="41"/>
    </row>
    <row r="217" spans="1:14" s="40" customFormat="1" ht="54" x14ac:dyDescent="0.25">
      <c r="A217" s="50" t="s">
        <v>493</v>
      </c>
      <c r="B217" s="79" t="s">
        <v>494</v>
      </c>
      <c r="C217" s="108" t="str">
        <f>UPPER("Kit de alarme sem fio para WC PNE, composto por botoeira e sirene audiovisual - fornecimento e instalação")</f>
        <v>KIT DE ALARME SEM FIO PARA WC PNE, COMPOSTO POR BOTOEIRA E SIRENE AUDIOVISUAL - FORNECIMENTO E INSTALAÇÃO</v>
      </c>
      <c r="D217" s="69" t="s">
        <v>52</v>
      </c>
      <c r="E217" s="109">
        <v>10</v>
      </c>
      <c r="F217" s="109">
        <v>737.51</v>
      </c>
      <c r="G217" s="124">
        <f t="shared" si="12"/>
        <v>7375.1</v>
      </c>
      <c r="H217" s="48">
        <f t="shared" si="13"/>
        <v>1.0595721684674795E-3</v>
      </c>
      <c r="N217" s="41"/>
    </row>
    <row r="218" spans="1:14" s="40" customFormat="1" ht="36" x14ac:dyDescent="0.25">
      <c r="A218" s="50" t="s">
        <v>495</v>
      </c>
      <c r="B218" s="81" t="s">
        <v>496</v>
      </c>
      <c r="C218" s="108" t="str">
        <f>UPPER("Barra antipânico simples sem chave para uma porta ref. MH2585 ou similar")</f>
        <v>BARRA ANTIPÂNICO SIMPLES SEM CHAVE PARA UMA PORTA REF. MH2585 OU SIMILAR</v>
      </c>
      <c r="D218" s="69" t="s">
        <v>52</v>
      </c>
      <c r="E218" s="109">
        <v>5</v>
      </c>
      <c r="F218" s="109">
        <v>869.82</v>
      </c>
      <c r="G218" s="124">
        <f t="shared" si="12"/>
        <v>4349.1000000000004</v>
      </c>
      <c r="H218" s="48">
        <f t="shared" si="13"/>
        <v>6.2483021489632886E-4</v>
      </c>
      <c r="N218" s="41"/>
    </row>
    <row r="219" spans="1:14" s="40" customFormat="1" ht="36" x14ac:dyDescent="0.25">
      <c r="A219" s="50" t="s">
        <v>497</v>
      </c>
      <c r="B219" s="81">
        <v>85005</v>
      </c>
      <c r="C219" s="108" t="s">
        <v>498</v>
      </c>
      <c r="D219" s="69" t="s">
        <v>29</v>
      </c>
      <c r="E219" s="109">
        <v>25</v>
      </c>
      <c r="F219" s="109">
        <v>495.22</v>
      </c>
      <c r="G219" s="124">
        <f t="shared" si="12"/>
        <v>12380.5</v>
      </c>
      <c r="H219" s="48">
        <f t="shared" si="13"/>
        <v>1.7786922525405253E-3</v>
      </c>
      <c r="N219" s="41"/>
    </row>
    <row r="220" spans="1:14" s="40" customFormat="1" ht="36" x14ac:dyDescent="0.25">
      <c r="A220" s="50" t="s">
        <v>499</v>
      </c>
      <c r="B220" s="81">
        <v>100858</v>
      </c>
      <c r="C220" s="108" t="s">
        <v>500</v>
      </c>
      <c r="D220" s="69" t="s">
        <v>52</v>
      </c>
      <c r="E220" s="109">
        <v>50</v>
      </c>
      <c r="F220" s="109">
        <v>63.18</v>
      </c>
      <c r="G220" s="124">
        <f t="shared" si="12"/>
        <v>3159</v>
      </c>
      <c r="H220" s="48">
        <f t="shared" si="13"/>
        <v>4.5384991121324015E-4</v>
      </c>
      <c r="N220" s="41"/>
    </row>
    <row r="221" spans="1:14" s="40" customFormat="1" ht="54" x14ac:dyDescent="0.25">
      <c r="A221" s="50" t="s">
        <v>501</v>
      </c>
      <c r="B221" s="81" t="s">
        <v>502</v>
      </c>
      <c r="C221" s="108" t="str">
        <f>UPPER("Mictório de louça com sifão integrado (deca ref m712 ou similar com válvula fech. autom.ref. 2572 decamatic eco ou similar")</f>
        <v>MICTÓRIO DE LOUÇA COM SIFÃO INTEGRADO (DECA REF M712 OU SIMILAR COM VÁLVULA FECH. AUTOM.REF. 2572 DECAMATIC ECO OU SIMILAR</v>
      </c>
      <c r="D221" s="69" t="s">
        <v>52</v>
      </c>
      <c r="E221" s="109">
        <v>25</v>
      </c>
      <c r="F221" s="109">
        <v>696.94</v>
      </c>
      <c r="G221" s="124">
        <f t="shared" si="12"/>
        <v>17423.5</v>
      </c>
      <c r="H221" s="48">
        <f t="shared" si="13"/>
        <v>2.5032142855409591E-3</v>
      </c>
      <c r="N221" s="41"/>
    </row>
    <row r="222" spans="1:14" s="40" customFormat="1" ht="36" x14ac:dyDescent="0.25">
      <c r="A222" s="50" t="s">
        <v>503</v>
      </c>
      <c r="B222" s="81" t="s">
        <v>504</v>
      </c>
      <c r="C222" s="108" t="s">
        <v>505</v>
      </c>
      <c r="D222" s="69" t="s">
        <v>38</v>
      </c>
      <c r="E222" s="109">
        <v>100</v>
      </c>
      <c r="F222" s="109">
        <v>38.85</v>
      </c>
      <c r="G222" s="124">
        <f t="shared" si="12"/>
        <v>3885</v>
      </c>
      <c r="H222" s="48">
        <f t="shared" si="13"/>
        <v>5.5815349954524787E-4</v>
      </c>
      <c r="N222" s="41"/>
    </row>
    <row r="223" spans="1:14" s="40" customFormat="1" ht="18" x14ac:dyDescent="0.25">
      <c r="A223" s="50" t="s">
        <v>506</v>
      </c>
      <c r="B223" s="81" t="s">
        <v>507</v>
      </c>
      <c r="C223" s="108" t="s">
        <v>508</v>
      </c>
      <c r="D223" s="69" t="s">
        <v>29</v>
      </c>
      <c r="E223" s="109">
        <v>20</v>
      </c>
      <c r="F223" s="109">
        <v>338.81</v>
      </c>
      <c r="G223" s="124">
        <f t="shared" si="12"/>
        <v>6776.2</v>
      </c>
      <c r="H223" s="48">
        <f t="shared" si="13"/>
        <v>9.7352889153629562E-4</v>
      </c>
      <c r="N223" s="41"/>
    </row>
    <row r="224" spans="1:14" s="40" customFormat="1" ht="72" x14ac:dyDescent="0.25">
      <c r="A224" s="50" t="s">
        <v>509</v>
      </c>
      <c r="B224" s="81" t="s">
        <v>510</v>
      </c>
      <c r="C224" s="108" t="str">
        <f>UPPER("Pia de cozinha com bancada em aço inox, dim 1,20x0,60m c/ 01 cuba, válvula cromada, sifão cromado e torneira cromada, concretada e assentada")</f>
        <v>PIA DE COZINHA COM BANCADA EM AÇO INOX, DIM 1,20X0,60M C/ 01 CUBA, VÁLVULA CROMADA, SIFÃO CROMADO E TORNEIRA CROMADA, CONCRETADA E ASSENTADA</v>
      </c>
      <c r="D224" s="69" t="s">
        <v>52</v>
      </c>
      <c r="E224" s="109">
        <v>10</v>
      </c>
      <c r="F224" s="109">
        <v>682.51</v>
      </c>
      <c r="G224" s="124">
        <f t="shared" si="12"/>
        <v>6825.1</v>
      </c>
      <c r="H224" s="48">
        <f t="shared" si="13"/>
        <v>9.8055429851898884E-4</v>
      </c>
      <c r="N224" s="41"/>
    </row>
    <row r="225" spans="1:14" s="40" customFormat="1" ht="18" x14ac:dyDescent="0.25">
      <c r="A225" s="50" t="s">
        <v>511</v>
      </c>
      <c r="B225" s="81" t="s">
        <v>512</v>
      </c>
      <c r="C225" s="108" t="s">
        <v>513</v>
      </c>
      <c r="D225" s="69" t="s">
        <v>404</v>
      </c>
      <c r="E225" s="109">
        <v>28</v>
      </c>
      <c r="F225" s="109">
        <v>17.52</v>
      </c>
      <c r="G225" s="124">
        <f t="shared" si="12"/>
        <v>490.56</v>
      </c>
      <c r="H225" s="48">
        <f t="shared" si="13"/>
        <v>7.0478193239875624E-5</v>
      </c>
      <c r="N225" s="41"/>
    </row>
    <row r="226" spans="1:14" s="40" customFormat="1" ht="36" x14ac:dyDescent="0.25">
      <c r="A226" s="50" t="s">
        <v>514</v>
      </c>
      <c r="B226" s="81">
        <v>95544</v>
      </c>
      <c r="C226" s="108" t="s">
        <v>515</v>
      </c>
      <c r="D226" s="69" t="s">
        <v>404</v>
      </c>
      <c r="E226" s="109">
        <v>10</v>
      </c>
      <c r="F226" s="109">
        <v>28.5</v>
      </c>
      <c r="G226" s="124">
        <f t="shared" si="12"/>
        <v>285</v>
      </c>
      <c r="H226" s="48">
        <f t="shared" si="13"/>
        <v>4.0945623518763356E-5</v>
      </c>
      <c r="N226" s="41"/>
    </row>
    <row r="227" spans="1:14" s="40" customFormat="1" ht="36" x14ac:dyDescent="0.25">
      <c r="A227" s="50" t="s">
        <v>516</v>
      </c>
      <c r="B227" s="81" t="s">
        <v>517</v>
      </c>
      <c r="C227" s="108" t="s">
        <v>518</v>
      </c>
      <c r="D227" s="69" t="s">
        <v>404</v>
      </c>
      <c r="E227" s="109">
        <v>10</v>
      </c>
      <c r="F227" s="109">
        <v>61.72</v>
      </c>
      <c r="G227" s="124">
        <f t="shared" si="12"/>
        <v>617.20000000000005</v>
      </c>
      <c r="H227" s="48">
        <f t="shared" si="13"/>
        <v>8.8672416967651739E-5</v>
      </c>
      <c r="N227" s="41"/>
    </row>
    <row r="228" spans="1:14" s="40" customFormat="1" ht="36" x14ac:dyDescent="0.25">
      <c r="A228" s="50" t="s">
        <v>519</v>
      </c>
      <c r="B228" s="81" t="s">
        <v>520</v>
      </c>
      <c r="C228" s="108" t="s">
        <v>521</v>
      </c>
      <c r="D228" s="69" t="s">
        <v>404</v>
      </c>
      <c r="E228" s="109">
        <v>19</v>
      </c>
      <c r="F228" s="109">
        <v>62.94</v>
      </c>
      <c r="G228" s="124">
        <f t="shared" si="12"/>
        <v>1195.8599999999999</v>
      </c>
      <c r="H228" s="48">
        <f t="shared" si="13"/>
        <v>1.7180783628473103E-4</v>
      </c>
      <c r="N228" s="41"/>
    </row>
    <row r="229" spans="1:14" s="40" customFormat="1" ht="54" x14ac:dyDescent="0.25">
      <c r="A229" s="50" t="s">
        <v>522</v>
      </c>
      <c r="B229" s="81">
        <v>86909</v>
      </c>
      <c r="C229" s="108" t="s">
        <v>523</v>
      </c>
      <c r="D229" s="69" t="s">
        <v>404</v>
      </c>
      <c r="E229" s="109">
        <v>3</v>
      </c>
      <c r="F229" s="109">
        <v>90.16</v>
      </c>
      <c r="G229" s="124">
        <f t="shared" si="12"/>
        <v>270.48</v>
      </c>
      <c r="H229" s="48">
        <f t="shared" si="13"/>
        <v>3.8859551752123206E-5</v>
      </c>
      <c r="N229" s="41"/>
    </row>
    <row r="230" spans="1:14" s="40" customFormat="1" ht="36" x14ac:dyDescent="0.25">
      <c r="A230" s="50" t="s">
        <v>524</v>
      </c>
      <c r="B230" s="81" t="s">
        <v>525</v>
      </c>
      <c r="C230" s="108" t="s">
        <v>526</v>
      </c>
      <c r="D230" s="69" t="s">
        <v>404</v>
      </c>
      <c r="E230" s="109">
        <v>2</v>
      </c>
      <c r="F230" s="109">
        <v>194.09</v>
      </c>
      <c r="G230" s="124">
        <f t="shared" si="12"/>
        <v>388.18</v>
      </c>
      <c r="H230" s="48">
        <f t="shared" si="13"/>
        <v>5.5769375921100212E-5</v>
      </c>
      <c r="N230" s="41"/>
    </row>
    <row r="231" spans="1:14" s="40" customFormat="1" ht="72.75" thickBot="1" x14ac:dyDescent="0.3">
      <c r="A231" s="50" t="s">
        <v>527</v>
      </c>
      <c r="B231" s="81" t="s">
        <v>528</v>
      </c>
      <c r="C231" s="108" t="s">
        <v>529</v>
      </c>
      <c r="D231" s="69" t="s">
        <v>52</v>
      </c>
      <c r="E231" s="109">
        <v>18</v>
      </c>
      <c r="F231" s="109">
        <v>106.87</v>
      </c>
      <c r="G231" s="124">
        <f t="shared" si="12"/>
        <v>1923.66</v>
      </c>
      <c r="H231" s="48">
        <f t="shared" si="13"/>
        <v>2.76370028554752E-4</v>
      </c>
      <c r="N231" s="41"/>
    </row>
    <row r="232" spans="1:14" s="40" customFormat="1" ht="18.75" thickBot="1" x14ac:dyDescent="0.3">
      <c r="A232" s="42">
        <v>11</v>
      </c>
      <c r="B232" s="130"/>
      <c r="C232" s="131" t="s">
        <v>530</v>
      </c>
      <c r="D232" s="45"/>
      <c r="E232" s="46"/>
      <c r="F232" s="132"/>
      <c r="G232" s="72">
        <f>SUM(G233:G258)</f>
        <v>114996.5</v>
      </c>
      <c r="H232" s="48">
        <f t="shared" si="13"/>
        <v>1.6521415420966561E-2</v>
      </c>
      <c r="N232" s="41"/>
    </row>
    <row r="233" spans="1:14" s="40" customFormat="1" ht="36" customHeight="1" x14ac:dyDescent="0.25">
      <c r="A233" s="94" t="s">
        <v>531</v>
      </c>
      <c r="B233" s="133" t="s">
        <v>532</v>
      </c>
      <c r="C233" s="134" t="s">
        <v>533</v>
      </c>
      <c r="D233" s="135" t="s">
        <v>52</v>
      </c>
      <c r="E233" s="136">
        <v>100</v>
      </c>
      <c r="F233" s="136">
        <v>132.43</v>
      </c>
      <c r="G233" s="124">
        <f t="shared" ref="G233:G258" si="14">F233*E233</f>
        <v>13243</v>
      </c>
      <c r="H233" s="48">
        <f t="shared" si="13"/>
        <v>1.9026066395052038E-3</v>
      </c>
      <c r="N233" s="41"/>
    </row>
    <row r="234" spans="1:14" s="40" customFormat="1" ht="18" x14ac:dyDescent="0.25">
      <c r="A234" s="94" t="s">
        <v>534</v>
      </c>
      <c r="B234" s="133" t="s">
        <v>535</v>
      </c>
      <c r="C234" s="134" t="s">
        <v>536</v>
      </c>
      <c r="D234" s="135" t="s">
        <v>52</v>
      </c>
      <c r="E234" s="136">
        <v>100</v>
      </c>
      <c r="F234" s="136">
        <v>120.46</v>
      </c>
      <c r="G234" s="124">
        <f t="shared" si="14"/>
        <v>12046</v>
      </c>
      <c r="H234" s="48">
        <f t="shared" si="13"/>
        <v>1.7306350207263977E-3</v>
      </c>
      <c r="N234" s="41"/>
    </row>
    <row r="235" spans="1:14" s="40" customFormat="1" ht="36" x14ac:dyDescent="0.25">
      <c r="A235" s="94" t="s">
        <v>537</v>
      </c>
      <c r="B235" s="133">
        <v>89356</v>
      </c>
      <c r="C235" s="134" t="s">
        <v>538</v>
      </c>
      <c r="D235" s="135" t="s">
        <v>38</v>
      </c>
      <c r="E235" s="136">
        <v>200</v>
      </c>
      <c r="F235" s="136">
        <v>18.489999999999998</v>
      </c>
      <c r="G235" s="124">
        <f t="shared" si="14"/>
        <v>3697.9999999999995</v>
      </c>
      <c r="H235" s="48">
        <f t="shared" si="13"/>
        <v>5.3128742376276096E-4</v>
      </c>
      <c r="N235" s="41"/>
    </row>
    <row r="236" spans="1:14" s="40" customFormat="1" ht="36" x14ac:dyDescent="0.25">
      <c r="A236" s="94" t="s">
        <v>539</v>
      </c>
      <c r="B236" s="133">
        <v>89357</v>
      </c>
      <c r="C236" s="134" t="s">
        <v>540</v>
      </c>
      <c r="D236" s="135" t="s">
        <v>38</v>
      </c>
      <c r="E236" s="136">
        <v>200</v>
      </c>
      <c r="F236" s="136">
        <v>24.97</v>
      </c>
      <c r="G236" s="124">
        <f t="shared" si="14"/>
        <v>4994</v>
      </c>
      <c r="H236" s="48">
        <f t="shared" si="13"/>
        <v>7.1748225913229545E-4</v>
      </c>
      <c r="I236" s="40" t="s">
        <v>541</v>
      </c>
      <c r="N236" s="41"/>
    </row>
    <row r="237" spans="1:14" s="40" customFormat="1" ht="36" x14ac:dyDescent="0.25">
      <c r="A237" s="94" t="s">
        <v>542</v>
      </c>
      <c r="B237" s="133">
        <v>89448</v>
      </c>
      <c r="C237" s="134" t="s">
        <v>543</v>
      </c>
      <c r="D237" s="135" t="s">
        <v>38</v>
      </c>
      <c r="E237" s="136">
        <v>200</v>
      </c>
      <c r="F237" s="136">
        <v>10.130000000000001</v>
      </c>
      <c r="G237" s="124">
        <f t="shared" si="14"/>
        <v>2026.0000000000002</v>
      </c>
      <c r="H237" s="48">
        <f t="shared" si="13"/>
        <v>2.9107309911934938E-4</v>
      </c>
      <c r="N237" s="41"/>
    </row>
    <row r="238" spans="1:14" s="40" customFormat="1" ht="36" x14ac:dyDescent="0.25">
      <c r="A238" s="94" t="s">
        <v>544</v>
      </c>
      <c r="B238" s="133">
        <v>89451</v>
      </c>
      <c r="C238" s="134" t="s">
        <v>545</v>
      </c>
      <c r="D238" s="135" t="s">
        <v>38</v>
      </c>
      <c r="E238" s="136">
        <v>100</v>
      </c>
      <c r="F238" s="136">
        <v>31.3</v>
      </c>
      <c r="G238" s="124">
        <f t="shared" si="14"/>
        <v>3130</v>
      </c>
      <c r="H238" s="48">
        <f t="shared" si="13"/>
        <v>4.496835144341379E-4</v>
      </c>
      <c r="N238" s="41"/>
    </row>
    <row r="239" spans="1:14" s="40" customFormat="1" ht="36" x14ac:dyDescent="0.25">
      <c r="A239" s="94" t="s">
        <v>546</v>
      </c>
      <c r="B239" s="133">
        <v>89511</v>
      </c>
      <c r="C239" s="134" t="s">
        <v>547</v>
      </c>
      <c r="D239" s="135" t="s">
        <v>38</v>
      </c>
      <c r="E239" s="136">
        <v>100</v>
      </c>
      <c r="F239" s="136">
        <v>29.78</v>
      </c>
      <c r="G239" s="124">
        <f t="shared" si="14"/>
        <v>2978</v>
      </c>
      <c r="H239" s="48">
        <f t="shared" si="13"/>
        <v>4.2784584855746409E-4</v>
      </c>
      <c r="N239" s="41"/>
    </row>
    <row r="240" spans="1:14" s="40" customFormat="1" ht="36" x14ac:dyDescent="0.25">
      <c r="A240" s="94" t="s">
        <v>548</v>
      </c>
      <c r="B240" s="133">
        <v>89512</v>
      </c>
      <c r="C240" s="134" t="s">
        <v>549</v>
      </c>
      <c r="D240" s="135" t="s">
        <v>38</v>
      </c>
      <c r="E240" s="136">
        <v>250</v>
      </c>
      <c r="F240" s="136">
        <v>46</v>
      </c>
      <c r="G240" s="124">
        <f t="shared" si="14"/>
        <v>11500</v>
      </c>
      <c r="H240" s="48">
        <f t="shared" si="13"/>
        <v>1.6521918261957144E-3</v>
      </c>
      <c r="N240" s="41"/>
    </row>
    <row r="241" spans="1:14" s="40" customFormat="1" ht="36" x14ac:dyDescent="0.25">
      <c r="A241" s="94" t="s">
        <v>550</v>
      </c>
      <c r="B241" s="133">
        <v>89580</v>
      </c>
      <c r="C241" s="134" t="s">
        <v>551</v>
      </c>
      <c r="D241" s="137" t="s">
        <v>38</v>
      </c>
      <c r="E241" s="136">
        <v>200</v>
      </c>
      <c r="F241" s="138">
        <v>51.82</v>
      </c>
      <c r="G241" s="124">
        <f t="shared" si="14"/>
        <v>10364</v>
      </c>
      <c r="H241" s="48">
        <f t="shared" si="13"/>
        <v>1.4889840075384682E-3</v>
      </c>
      <c r="N241" s="41"/>
    </row>
    <row r="242" spans="1:14" s="40" customFormat="1" ht="18" x14ac:dyDescent="0.25">
      <c r="A242" s="94" t="s">
        <v>552</v>
      </c>
      <c r="B242" s="133">
        <v>89362</v>
      </c>
      <c r="C242" s="134" t="s">
        <v>553</v>
      </c>
      <c r="D242" s="135" t="s">
        <v>52</v>
      </c>
      <c r="E242" s="136">
        <v>150</v>
      </c>
      <c r="F242" s="136">
        <v>7.66</v>
      </c>
      <c r="G242" s="124">
        <f t="shared" si="14"/>
        <v>1149</v>
      </c>
      <c r="H242" s="48">
        <f t="shared" si="13"/>
        <v>1.6507551376511963E-4</v>
      </c>
      <c r="N242" s="41"/>
    </row>
    <row r="243" spans="1:14" s="40" customFormat="1" ht="18" x14ac:dyDescent="0.25">
      <c r="A243" s="94" t="s">
        <v>554</v>
      </c>
      <c r="B243" s="139">
        <v>89367</v>
      </c>
      <c r="C243" s="134" t="s">
        <v>555</v>
      </c>
      <c r="D243" s="135" t="s">
        <v>52</v>
      </c>
      <c r="E243" s="136">
        <v>150</v>
      </c>
      <c r="F243" s="136">
        <v>10.16</v>
      </c>
      <c r="G243" s="124">
        <f t="shared" si="14"/>
        <v>1524</v>
      </c>
      <c r="H243" s="48">
        <f t="shared" si="13"/>
        <v>2.1895133418454511E-4</v>
      </c>
      <c r="N243" s="41"/>
    </row>
    <row r="244" spans="1:14" s="40" customFormat="1" ht="18" x14ac:dyDescent="0.25">
      <c r="A244" s="94" t="s">
        <v>556</v>
      </c>
      <c r="B244" s="139">
        <v>89364</v>
      </c>
      <c r="C244" s="134" t="s">
        <v>557</v>
      </c>
      <c r="D244" s="135" t="s">
        <v>52</v>
      </c>
      <c r="E244" s="136">
        <v>100</v>
      </c>
      <c r="F244" s="136">
        <v>9.31</v>
      </c>
      <c r="G244" s="124">
        <f t="shared" si="14"/>
        <v>931</v>
      </c>
      <c r="H244" s="48">
        <f t="shared" si="13"/>
        <v>1.3375570349462697E-4</v>
      </c>
      <c r="N244" s="41"/>
    </row>
    <row r="245" spans="1:14" s="40" customFormat="1" ht="18" x14ac:dyDescent="0.25">
      <c r="A245" s="94" t="s">
        <v>558</v>
      </c>
      <c r="B245" s="139">
        <v>89369</v>
      </c>
      <c r="C245" s="134" t="s">
        <v>559</v>
      </c>
      <c r="D245" s="135" t="s">
        <v>52</v>
      </c>
      <c r="E245" s="136">
        <v>100</v>
      </c>
      <c r="F245" s="136">
        <v>13.56</v>
      </c>
      <c r="G245" s="124">
        <f t="shared" si="14"/>
        <v>1356</v>
      </c>
      <c r="H245" s="48">
        <f t="shared" si="13"/>
        <v>1.948149666366425E-4</v>
      </c>
      <c r="N245" s="41"/>
    </row>
    <row r="246" spans="1:14" s="40" customFormat="1" ht="18" x14ac:dyDescent="0.25">
      <c r="A246" s="94" t="s">
        <v>560</v>
      </c>
      <c r="B246" s="139">
        <v>89440</v>
      </c>
      <c r="C246" s="134" t="s">
        <v>561</v>
      </c>
      <c r="D246" s="135" t="s">
        <v>52</v>
      </c>
      <c r="E246" s="136">
        <v>100</v>
      </c>
      <c r="F246" s="136">
        <v>7.16</v>
      </c>
      <c r="G246" s="124">
        <f t="shared" si="14"/>
        <v>716</v>
      </c>
      <c r="H246" s="48">
        <f t="shared" si="13"/>
        <v>1.0286689978748969E-4</v>
      </c>
      <c r="N246" s="41"/>
    </row>
    <row r="247" spans="1:14" s="40" customFormat="1" ht="18" x14ac:dyDescent="0.25">
      <c r="A247" s="94" t="s">
        <v>562</v>
      </c>
      <c r="B247" s="139">
        <v>89443</v>
      </c>
      <c r="C247" s="134" t="s">
        <v>563</v>
      </c>
      <c r="D247" s="135" t="s">
        <v>52</v>
      </c>
      <c r="E247" s="136">
        <v>100</v>
      </c>
      <c r="F247" s="136">
        <v>10.58</v>
      </c>
      <c r="G247" s="124">
        <f t="shared" si="14"/>
        <v>1058</v>
      </c>
      <c r="H247" s="48">
        <f t="shared" si="13"/>
        <v>1.5200164801000571E-4</v>
      </c>
      <c r="N247" s="41"/>
    </row>
    <row r="248" spans="1:14" s="40" customFormat="1" ht="18" x14ac:dyDescent="0.25">
      <c r="A248" s="94" t="s">
        <v>564</v>
      </c>
      <c r="B248" s="133">
        <v>89425</v>
      </c>
      <c r="C248" s="134" t="s">
        <v>565</v>
      </c>
      <c r="D248" s="135" t="s">
        <v>52</v>
      </c>
      <c r="E248" s="136">
        <v>100</v>
      </c>
      <c r="F248" s="136">
        <v>10.54</v>
      </c>
      <c r="G248" s="124">
        <f t="shared" si="14"/>
        <v>1054</v>
      </c>
      <c r="H248" s="48">
        <f t="shared" si="13"/>
        <v>1.5142697259219851E-4</v>
      </c>
      <c r="N248" s="41"/>
    </row>
    <row r="249" spans="1:14" s="40" customFormat="1" ht="18" customHeight="1" x14ac:dyDescent="0.25">
      <c r="A249" s="94" t="s">
        <v>566</v>
      </c>
      <c r="B249" s="133">
        <v>89432</v>
      </c>
      <c r="C249" s="134" t="s">
        <v>567</v>
      </c>
      <c r="D249" s="135" t="s">
        <v>52</v>
      </c>
      <c r="E249" s="136">
        <v>100</v>
      </c>
      <c r="F249" s="136">
        <v>21.32</v>
      </c>
      <c r="G249" s="124">
        <f t="shared" si="14"/>
        <v>2132</v>
      </c>
      <c r="H249" s="48">
        <f t="shared" si="13"/>
        <v>3.0630199769124026E-4</v>
      </c>
      <c r="N249" s="41"/>
    </row>
    <row r="250" spans="1:14" s="40" customFormat="1" ht="90" x14ac:dyDescent="0.25">
      <c r="A250" s="94" t="s">
        <v>568</v>
      </c>
      <c r="B250" s="133">
        <v>92106</v>
      </c>
      <c r="C250" s="134" t="s">
        <v>569</v>
      </c>
      <c r="D250" s="135" t="s">
        <v>23</v>
      </c>
      <c r="E250" s="136">
        <v>50</v>
      </c>
      <c r="F250" s="136">
        <v>182.14</v>
      </c>
      <c r="G250" s="124">
        <f t="shared" si="14"/>
        <v>9107</v>
      </c>
      <c r="H250" s="48">
        <f t="shared" si="13"/>
        <v>1.308392257492554E-3</v>
      </c>
      <c r="N250" s="41"/>
    </row>
    <row r="251" spans="1:14" s="40" customFormat="1" ht="36" x14ac:dyDescent="0.25">
      <c r="A251" s="94" t="s">
        <v>570</v>
      </c>
      <c r="B251" s="133">
        <v>89969</v>
      </c>
      <c r="C251" s="134" t="s">
        <v>571</v>
      </c>
      <c r="D251" s="135" t="s">
        <v>52</v>
      </c>
      <c r="E251" s="136">
        <v>50</v>
      </c>
      <c r="F251" s="136">
        <v>36.46</v>
      </c>
      <c r="G251" s="124">
        <f t="shared" si="14"/>
        <v>1823</v>
      </c>
      <c r="H251" s="48">
        <f t="shared" si="13"/>
        <v>2.6190832166563368E-4</v>
      </c>
      <c r="N251" s="41"/>
    </row>
    <row r="252" spans="1:14" s="40" customFormat="1" ht="36" x14ac:dyDescent="0.25">
      <c r="A252" s="94" t="s">
        <v>572</v>
      </c>
      <c r="B252" s="133">
        <v>89970</v>
      </c>
      <c r="C252" s="134" t="s">
        <v>573</v>
      </c>
      <c r="D252" s="135" t="s">
        <v>52</v>
      </c>
      <c r="E252" s="136">
        <v>100</v>
      </c>
      <c r="F252" s="136">
        <v>40.32</v>
      </c>
      <c r="G252" s="124">
        <f t="shared" si="14"/>
        <v>4032</v>
      </c>
      <c r="H252" s="48">
        <f t="shared" si="13"/>
        <v>5.7927282114966262E-4</v>
      </c>
      <c r="N252" s="41"/>
    </row>
    <row r="253" spans="1:14" s="40" customFormat="1" ht="36" x14ac:dyDescent="0.25">
      <c r="A253" s="94" t="s">
        <v>574</v>
      </c>
      <c r="B253" s="133">
        <v>94794</v>
      </c>
      <c r="C253" s="134" t="s">
        <v>575</v>
      </c>
      <c r="D253" s="135" t="s">
        <v>52</v>
      </c>
      <c r="E253" s="136">
        <v>25</v>
      </c>
      <c r="F253" s="136">
        <v>141.19999999999999</v>
      </c>
      <c r="G253" s="124">
        <f t="shared" si="14"/>
        <v>3529.9999999999995</v>
      </c>
      <c r="H253" s="48">
        <f t="shared" si="13"/>
        <v>5.0715105621485835E-4</v>
      </c>
      <c r="N253" s="41"/>
    </row>
    <row r="254" spans="1:14" s="40" customFormat="1" ht="18" x14ac:dyDescent="0.25">
      <c r="A254" s="94" t="s">
        <v>576</v>
      </c>
      <c r="B254" s="133" t="s">
        <v>577</v>
      </c>
      <c r="C254" s="134" t="s">
        <v>578</v>
      </c>
      <c r="D254" s="135" t="s">
        <v>404</v>
      </c>
      <c r="E254" s="136">
        <v>50</v>
      </c>
      <c r="F254" s="136">
        <v>132.43</v>
      </c>
      <c r="G254" s="124">
        <f t="shared" si="14"/>
        <v>6621.5</v>
      </c>
      <c r="H254" s="48">
        <f t="shared" si="13"/>
        <v>9.5130331975260191E-4</v>
      </c>
      <c r="N254" s="41"/>
    </row>
    <row r="255" spans="1:14" s="40" customFormat="1" ht="18" x14ac:dyDescent="0.25">
      <c r="A255" s="94" t="s">
        <v>579</v>
      </c>
      <c r="B255" s="133" t="s">
        <v>580</v>
      </c>
      <c r="C255" s="134" t="s">
        <v>581</v>
      </c>
      <c r="D255" s="135" t="s">
        <v>404</v>
      </c>
      <c r="E255" s="136">
        <v>50</v>
      </c>
      <c r="F255" s="136">
        <v>81.12</v>
      </c>
      <c r="G255" s="124">
        <f t="shared" si="14"/>
        <v>4056</v>
      </c>
      <c r="H255" s="48">
        <f t="shared" si="13"/>
        <v>5.8272087365650587E-4</v>
      </c>
      <c r="N255" s="41"/>
    </row>
    <row r="256" spans="1:14" s="40" customFormat="1" ht="18" x14ac:dyDescent="0.25">
      <c r="A256" s="94" t="s">
        <v>582</v>
      </c>
      <c r="B256" s="133" t="s">
        <v>583</v>
      </c>
      <c r="C256" s="134" t="s">
        <v>584</v>
      </c>
      <c r="D256" s="135" t="s">
        <v>404</v>
      </c>
      <c r="E256" s="136">
        <v>50</v>
      </c>
      <c r="F256" s="136">
        <v>69.84</v>
      </c>
      <c r="G256" s="124">
        <f t="shared" si="14"/>
        <v>3492</v>
      </c>
      <c r="H256" s="48">
        <f t="shared" si="13"/>
        <v>5.0169163974568998E-4</v>
      </c>
      <c r="N256" s="41"/>
    </row>
    <row r="257" spans="1:14" s="40" customFormat="1" ht="18" x14ac:dyDescent="0.25">
      <c r="A257" s="94" t="s">
        <v>585</v>
      </c>
      <c r="B257" s="133" t="s">
        <v>583</v>
      </c>
      <c r="C257" s="134" t="s">
        <v>586</v>
      </c>
      <c r="D257" s="135" t="s">
        <v>404</v>
      </c>
      <c r="E257" s="136">
        <v>50</v>
      </c>
      <c r="F257" s="136">
        <v>69.84</v>
      </c>
      <c r="G257" s="124">
        <f t="shared" si="14"/>
        <v>3492</v>
      </c>
      <c r="H257" s="48">
        <f t="shared" si="13"/>
        <v>5.0169163974568998E-4</v>
      </c>
      <c r="N257" s="41"/>
    </row>
    <row r="258" spans="1:14" s="40" customFormat="1" ht="18" customHeight="1" thickBot="1" x14ac:dyDescent="0.3">
      <c r="A258" s="94" t="s">
        <v>587</v>
      </c>
      <c r="B258" s="133" t="s">
        <v>588</v>
      </c>
      <c r="C258" s="134" t="s">
        <v>589</v>
      </c>
      <c r="D258" s="135" t="s">
        <v>404</v>
      </c>
      <c r="E258" s="136">
        <v>20</v>
      </c>
      <c r="F258" s="136">
        <v>247.2</v>
      </c>
      <c r="G258" s="124">
        <f t="shared" si="14"/>
        <v>4944</v>
      </c>
      <c r="H258" s="48">
        <f t="shared" si="13"/>
        <v>7.1029881640970541E-4</v>
      </c>
      <c r="N258" s="41"/>
    </row>
    <row r="259" spans="1:14" s="40" customFormat="1" ht="18.75" thickBot="1" x14ac:dyDescent="0.3">
      <c r="A259" s="42">
        <v>12</v>
      </c>
      <c r="B259" s="130"/>
      <c r="C259" s="131" t="s">
        <v>590</v>
      </c>
      <c r="D259" s="45"/>
      <c r="E259" s="46"/>
      <c r="F259" s="132"/>
      <c r="G259" s="72">
        <f>SUM(G260:G280)</f>
        <v>107731.65</v>
      </c>
      <c r="H259" s="48">
        <f t="shared" si="13"/>
        <v>1.5477682743702393E-2</v>
      </c>
      <c r="N259" s="41"/>
    </row>
    <row r="260" spans="1:14" s="40" customFormat="1" ht="36" customHeight="1" x14ac:dyDescent="0.25">
      <c r="A260" s="94" t="s">
        <v>591</v>
      </c>
      <c r="B260" s="140" t="s">
        <v>592</v>
      </c>
      <c r="C260" s="141" t="str">
        <f>UPPER("Ponto de esgoto com tubo de pvc rígido soldável de Ø 40 mm (lavatórios, mictórios, ralos sifonados, etc...) ")</f>
        <v xml:space="preserve">PONTO DE ESGOTO COM TUBO DE PVC RÍGIDO SOLDÁVEL DE Ø 40 MM (LAVATÓRIOS, MICTÓRIOS, RALOS SIFONADOS, ETC...) </v>
      </c>
      <c r="D260" s="137" t="s">
        <v>52</v>
      </c>
      <c r="E260" s="136">
        <v>100</v>
      </c>
      <c r="F260" s="142">
        <v>49.42</v>
      </c>
      <c r="G260" s="120">
        <f>F260*E260</f>
        <v>4942</v>
      </c>
      <c r="H260" s="48">
        <f t="shared" si="13"/>
        <v>7.1001147870080174E-4</v>
      </c>
      <c r="N260" s="41"/>
    </row>
    <row r="261" spans="1:14" s="40" customFormat="1" ht="36" x14ac:dyDescent="0.25">
      <c r="A261" s="94" t="s">
        <v>593</v>
      </c>
      <c r="B261" s="140" t="s">
        <v>594</v>
      </c>
      <c r="C261" s="134" t="str">
        <f>UPPER("Ponto de esgoto com tubo de pvc rígido soldável de Ø 50 mm (pias de cozinha, máquinas de lavar, etc...)")</f>
        <v>PONTO DE ESGOTO COM TUBO DE PVC RÍGIDO SOLDÁVEL DE Ø 50 MM (PIAS DE COZINHA, MÁQUINAS DE LAVAR, ETC...)</v>
      </c>
      <c r="D261" s="135" t="s">
        <v>52</v>
      </c>
      <c r="E261" s="136">
        <v>100</v>
      </c>
      <c r="F261" s="142">
        <v>67.760000000000005</v>
      </c>
      <c r="G261" s="120">
        <f t="shared" ref="G261:G280" si="15">F261*E261</f>
        <v>6776.0000000000009</v>
      </c>
      <c r="H261" s="48">
        <f t="shared" ref="H261:H324" si="16">G261/$G$602</f>
        <v>9.7350015776540542E-4</v>
      </c>
      <c r="N261" s="41"/>
    </row>
    <row r="262" spans="1:14" s="40" customFormat="1" ht="36" x14ac:dyDescent="0.25">
      <c r="A262" s="94" t="s">
        <v>595</v>
      </c>
      <c r="B262" s="140" t="s">
        <v>596</v>
      </c>
      <c r="C262" s="134" t="str">
        <f>UPPER("Ponto de esgoto com tubo de pvc rígido soldável de Ø 75 mm")</f>
        <v>PONTO DE ESGOTO COM TUBO DE PVC RÍGIDO SOLDÁVEL DE Ø 75 MM</v>
      </c>
      <c r="D262" s="135" t="s">
        <v>52</v>
      </c>
      <c r="E262" s="136">
        <v>100</v>
      </c>
      <c r="F262" s="142">
        <v>99.26</v>
      </c>
      <c r="G262" s="120">
        <f t="shared" si="15"/>
        <v>9926</v>
      </c>
      <c r="H262" s="48">
        <f t="shared" si="16"/>
        <v>1.4260570492885792E-3</v>
      </c>
      <c r="N262" s="41"/>
    </row>
    <row r="263" spans="1:14" s="40" customFormat="1" ht="36" x14ac:dyDescent="0.25">
      <c r="A263" s="94" t="s">
        <v>597</v>
      </c>
      <c r="B263" s="140" t="s">
        <v>598</v>
      </c>
      <c r="C263" s="134" t="str">
        <f>UPPER("Ponto de esgoto com tubo de pvc rígido soldável de Ø 100 mm (vaso sanitário)")</f>
        <v>PONTO DE ESGOTO COM TUBO DE PVC RÍGIDO SOLDÁVEL DE Ø 100 MM (VASO SANITÁRIO)</v>
      </c>
      <c r="D263" s="135" t="s">
        <v>52</v>
      </c>
      <c r="E263" s="136">
        <v>300</v>
      </c>
      <c r="F263" s="142">
        <v>69.84</v>
      </c>
      <c r="G263" s="120">
        <f t="shared" si="15"/>
        <v>20952</v>
      </c>
      <c r="H263" s="48">
        <f t="shared" si="16"/>
        <v>3.0101498384741397E-3</v>
      </c>
      <c r="N263" s="41"/>
    </row>
    <row r="264" spans="1:14" s="40" customFormat="1" ht="36" x14ac:dyDescent="0.25">
      <c r="A264" s="94" t="s">
        <v>599</v>
      </c>
      <c r="B264" s="140">
        <v>89712</v>
      </c>
      <c r="C264" s="134" t="s">
        <v>600</v>
      </c>
      <c r="D264" s="135" t="s">
        <v>38</v>
      </c>
      <c r="E264" s="136">
        <v>200</v>
      </c>
      <c r="F264" s="142">
        <v>22.87</v>
      </c>
      <c r="G264" s="120">
        <f t="shared" si="15"/>
        <v>4574</v>
      </c>
      <c r="H264" s="48">
        <f t="shared" si="16"/>
        <v>6.5714134026253893E-4</v>
      </c>
      <c r="N264" s="41"/>
    </row>
    <row r="265" spans="1:14" s="40" customFormat="1" ht="36" x14ac:dyDescent="0.25">
      <c r="A265" s="94" t="s">
        <v>601</v>
      </c>
      <c r="B265" s="140">
        <v>89713</v>
      </c>
      <c r="C265" s="134" t="s">
        <v>602</v>
      </c>
      <c r="D265" s="135" t="s">
        <v>38</v>
      </c>
      <c r="E265" s="136">
        <v>200</v>
      </c>
      <c r="F265" s="142">
        <v>34.76</v>
      </c>
      <c r="G265" s="120">
        <f t="shared" si="15"/>
        <v>6952</v>
      </c>
      <c r="H265" s="48">
        <f t="shared" si="16"/>
        <v>9.9878587614892216E-4</v>
      </c>
      <c r="N265" s="41"/>
    </row>
    <row r="266" spans="1:14" s="40" customFormat="1" ht="36" x14ac:dyDescent="0.25">
      <c r="A266" s="94" t="s">
        <v>603</v>
      </c>
      <c r="B266" s="140">
        <v>89714</v>
      </c>
      <c r="C266" s="134" t="s">
        <v>604</v>
      </c>
      <c r="D266" s="135" t="s">
        <v>38</v>
      </c>
      <c r="E266" s="136">
        <v>250</v>
      </c>
      <c r="F266" s="142">
        <v>45.05</v>
      </c>
      <c r="G266" s="120">
        <f t="shared" si="15"/>
        <v>11262.5</v>
      </c>
      <c r="H266" s="48">
        <f t="shared" si="16"/>
        <v>1.6180704732634116E-3</v>
      </c>
      <c r="N266" s="41"/>
    </row>
    <row r="267" spans="1:14" s="40" customFormat="1" ht="36" x14ac:dyDescent="0.25">
      <c r="A267" s="94" t="s">
        <v>605</v>
      </c>
      <c r="B267" s="140">
        <v>89731</v>
      </c>
      <c r="C267" s="134" t="s">
        <v>606</v>
      </c>
      <c r="D267" s="135" t="s">
        <v>52</v>
      </c>
      <c r="E267" s="136">
        <v>100</v>
      </c>
      <c r="F267" s="142">
        <v>8.7200000000000006</v>
      </c>
      <c r="G267" s="120">
        <f t="shared" si="15"/>
        <v>872.00000000000011</v>
      </c>
      <c r="H267" s="48">
        <f t="shared" si="16"/>
        <v>1.2527924108197072E-4</v>
      </c>
      <c r="N267" s="41"/>
    </row>
    <row r="268" spans="1:14" s="40" customFormat="1" ht="36" x14ac:dyDescent="0.25">
      <c r="A268" s="94" t="s">
        <v>607</v>
      </c>
      <c r="B268" s="140">
        <v>89737</v>
      </c>
      <c r="C268" s="134" t="s">
        <v>608</v>
      </c>
      <c r="D268" s="135" t="s">
        <v>52</v>
      </c>
      <c r="E268" s="136">
        <v>100</v>
      </c>
      <c r="F268" s="142">
        <v>14.33</v>
      </c>
      <c r="G268" s="120">
        <f t="shared" si="15"/>
        <v>1433</v>
      </c>
      <c r="H268" s="48">
        <f t="shared" si="16"/>
        <v>2.0587746842943118E-4</v>
      </c>
      <c r="N268" s="41"/>
    </row>
    <row r="269" spans="1:14" s="40" customFormat="1" ht="36" x14ac:dyDescent="0.25">
      <c r="A269" s="94" t="s">
        <v>609</v>
      </c>
      <c r="B269" s="140">
        <v>89744</v>
      </c>
      <c r="C269" s="134" t="s">
        <v>610</v>
      </c>
      <c r="D269" s="135" t="s">
        <v>52</v>
      </c>
      <c r="E269" s="136">
        <v>100</v>
      </c>
      <c r="F269" s="142">
        <v>18.7</v>
      </c>
      <c r="G269" s="120">
        <f t="shared" si="15"/>
        <v>1870</v>
      </c>
      <c r="H269" s="48">
        <f t="shared" si="16"/>
        <v>2.6866075782486833E-4</v>
      </c>
      <c r="N269" s="41"/>
    </row>
    <row r="270" spans="1:14" s="40" customFormat="1" ht="72" x14ac:dyDescent="0.25">
      <c r="A270" s="94" t="s">
        <v>611</v>
      </c>
      <c r="B270" s="140">
        <v>89753</v>
      </c>
      <c r="C270" s="134" t="s">
        <v>612</v>
      </c>
      <c r="D270" s="135" t="s">
        <v>52</v>
      </c>
      <c r="E270" s="136">
        <v>100</v>
      </c>
      <c r="F270" s="142">
        <v>6.83</v>
      </c>
      <c r="G270" s="120">
        <f t="shared" si="15"/>
        <v>683</v>
      </c>
      <c r="H270" s="48">
        <f t="shared" si="16"/>
        <v>9.8125827590580253E-5</v>
      </c>
      <c r="N270" s="41"/>
    </row>
    <row r="271" spans="1:14" s="40" customFormat="1" ht="18" customHeight="1" x14ac:dyDescent="0.25">
      <c r="A271" s="94" t="s">
        <v>613</v>
      </c>
      <c r="B271" s="140">
        <v>89774</v>
      </c>
      <c r="C271" s="134" t="s">
        <v>614</v>
      </c>
      <c r="D271" s="135" t="s">
        <v>52</v>
      </c>
      <c r="E271" s="136">
        <v>100</v>
      </c>
      <c r="F271" s="142">
        <v>11.19</v>
      </c>
      <c r="G271" s="120">
        <f t="shared" si="15"/>
        <v>1119</v>
      </c>
      <c r="H271" s="48">
        <f t="shared" si="16"/>
        <v>1.607654481315656E-4</v>
      </c>
      <c r="N271" s="41"/>
    </row>
    <row r="272" spans="1:14" s="40" customFormat="1" ht="54" x14ac:dyDescent="0.25">
      <c r="A272" s="94" t="s">
        <v>615</v>
      </c>
      <c r="B272" s="140">
        <v>89786</v>
      </c>
      <c r="C272" s="134" t="s">
        <v>616</v>
      </c>
      <c r="D272" s="135" t="s">
        <v>52</v>
      </c>
      <c r="E272" s="136">
        <v>50</v>
      </c>
      <c r="F272" s="142">
        <v>23.83</v>
      </c>
      <c r="G272" s="120">
        <f t="shared" si="15"/>
        <v>1191.5</v>
      </c>
      <c r="H272" s="48">
        <f t="shared" si="16"/>
        <v>1.711814400793212E-4</v>
      </c>
      <c r="N272" s="41"/>
    </row>
    <row r="273" spans="1:14" s="40" customFormat="1" ht="54" customHeight="1" x14ac:dyDescent="0.25">
      <c r="A273" s="94" t="s">
        <v>617</v>
      </c>
      <c r="B273" s="133">
        <v>89779</v>
      </c>
      <c r="C273" s="134" t="s">
        <v>618</v>
      </c>
      <c r="D273" s="135" t="s">
        <v>52</v>
      </c>
      <c r="E273" s="136">
        <v>100</v>
      </c>
      <c r="F273" s="136">
        <v>20.22</v>
      </c>
      <c r="G273" s="120">
        <f t="shared" si="15"/>
        <v>2022</v>
      </c>
      <c r="H273" s="48">
        <f t="shared" si="16"/>
        <v>2.904984237015421E-4</v>
      </c>
      <c r="N273" s="41"/>
    </row>
    <row r="274" spans="1:14" s="40" customFormat="1" ht="36" x14ac:dyDescent="0.25">
      <c r="A274" s="94" t="s">
        <v>619</v>
      </c>
      <c r="B274" s="133">
        <v>89796</v>
      </c>
      <c r="C274" s="134" t="s">
        <v>620</v>
      </c>
      <c r="D274" s="135" t="s">
        <v>52</v>
      </c>
      <c r="E274" s="136">
        <v>100</v>
      </c>
      <c r="F274" s="136">
        <v>29.89</v>
      </c>
      <c r="G274" s="120">
        <f t="shared" si="15"/>
        <v>2989</v>
      </c>
      <c r="H274" s="48">
        <f t="shared" si="16"/>
        <v>4.2942620595643393E-4</v>
      </c>
      <c r="N274" s="41"/>
    </row>
    <row r="275" spans="1:14" s="40" customFormat="1" ht="54" x14ac:dyDescent="0.25">
      <c r="A275" s="94" t="s">
        <v>621</v>
      </c>
      <c r="B275" s="133">
        <v>89859</v>
      </c>
      <c r="C275" s="134" t="s">
        <v>622</v>
      </c>
      <c r="D275" s="135" t="s">
        <v>52</v>
      </c>
      <c r="E275" s="136">
        <v>50</v>
      </c>
      <c r="F275" s="136">
        <v>57.26</v>
      </c>
      <c r="G275" s="120">
        <f t="shared" si="15"/>
        <v>2863</v>
      </c>
      <c r="H275" s="48">
        <f t="shared" si="16"/>
        <v>4.1132393029550698E-4</v>
      </c>
      <c r="N275" s="41"/>
    </row>
    <row r="276" spans="1:14" s="40" customFormat="1" ht="18" x14ac:dyDescent="0.25">
      <c r="A276" s="94" t="s">
        <v>623</v>
      </c>
      <c r="B276" s="133" t="s">
        <v>624</v>
      </c>
      <c r="C276" s="134" t="str">
        <f>UPPER("Caixa de passagem cp2-080 (60x60x80cm)")</f>
        <v>CAIXA DE PASSAGEM CP2-080 (60X60X80CM)</v>
      </c>
      <c r="D276" s="135" t="s">
        <v>52</v>
      </c>
      <c r="E276" s="136">
        <v>15</v>
      </c>
      <c r="F276" s="136">
        <v>374.57</v>
      </c>
      <c r="G276" s="120">
        <f t="shared" si="15"/>
        <v>5618.55</v>
      </c>
      <c r="H276" s="48">
        <f t="shared" si="16"/>
        <v>8.0721064218016792E-4</v>
      </c>
      <c r="N276" s="41"/>
    </row>
    <row r="277" spans="1:14" s="40" customFormat="1" ht="72" x14ac:dyDescent="0.25">
      <c r="A277" s="94" t="s">
        <v>625</v>
      </c>
      <c r="B277" s="133">
        <v>89491</v>
      </c>
      <c r="C277" s="134" t="s">
        <v>626</v>
      </c>
      <c r="D277" s="135" t="s">
        <v>52</v>
      </c>
      <c r="E277" s="136">
        <v>50</v>
      </c>
      <c r="F277" s="136">
        <v>47.35</v>
      </c>
      <c r="G277" s="120">
        <f t="shared" si="15"/>
        <v>2367.5</v>
      </c>
      <c r="H277" s="48">
        <f t="shared" si="16"/>
        <v>3.4013601291463946E-4</v>
      </c>
      <c r="N277" s="41"/>
    </row>
    <row r="278" spans="1:14" s="40" customFormat="1" ht="36" x14ac:dyDescent="0.25">
      <c r="A278" s="94" t="s">
        <v>627</v>
      </c>
      <c r="B278" s="133" t="s">
        <v>628</v>
      </c>
      <c r="C278" s="134" t="str">
        <f>UPPER("Caixa de passagem em alvenaria de tijolos maciços esp. = 0,12m, dim. int. = 1.00 x 1.00 x 0,80m")</f>
        <v>CAIXA DE PASSAGEM EM ALVENARIA DE TIJOLOS MACIÇOS ESP. = 0,12M, DIM. INT. = 1.00 X 1.00 X 0,80M</v>
      </c>
      <c r="D278" s="135" t="s">
        <v>52</v>
      </c>
      <c r="E278" s="136">
        <v>10</v>
      </c>
      <c r="F278" s="136">
        <v>823.31</v>
      </c>
      <c r="G278" s="120">
        <f t="shared" si="15"/>
        <v>8233.0999999999985</v>
      </c>
      <c r="H278" s="48">
        <f t="shared" si="16"/>
        <v>1.1828400455871247E-3</v>
      </c>
      <c r="N278" s="41"/>
    </row>
    <row r="279" spans="1:14" s="40" customFormat="1" ht="18" x14ac:dyDescent="0.25">
      <c r="A279" s="94" t="s">
        <v>629</v>
      </c>
      <c r="B279" s="133" t="s">
        <v>630</v>
      </c>
      <c r="C279" s="134" t="s">
        <v>631</v>
      </c>
      <c r="D279" s="135" t="s">
        <v>66</v>
      </c>
      <c r="E279" s="136">
        <f>8*20</f>
        <v>160</v>
      </c>
      <c r="F279" s="136">
        <v>60</v>
      </c>
      <c r="G279" s="120">
        <f t="shared" si="15"/>
        <v>9600</v>
      </c>
      <c r="H279" s="48">
        <f t="shared" si="16"/>
        <v>1.3792210027372919E-3</v>
      </c>
      <c r="N279" s="41"/>
    </row>
    <row r="280" spans="1:14" s="40" customFormat="1" ht="54.75" thickBot="1" x14ac:dyDescent="0.3">
      <c r="A280" s="94" t="s">
        <v>632</v>
      </c>
      <c r="B280" s="133" t="s">
        <v>633</v>
      </c>
      <c r="C280" s="134" t="str">
        <f>UPPER("Ralo sifonado em pvc d = 100 mm altura regulável, saída 40 mm, com grelha redonda acabamento cromado")</f>
        <v>RALO SIFONADO EM PVC D = 100 MM ALTURA REGULÁVEL, SAÍDA 40 MM, COM GRELHA REDONDA ACABAMENTO CROMADO</v>
      </c>
      <c r="D280" s="137" t="s">
        <v>52</v>
      </c>
      <c r="E280" s="136">
        <v>50</v>
      </c>
      <c r="F280" s="136">
        <v>29.71</v>
      </c>
      <c r="G280" s="120">
        <f t="shared" si="15"/>
        <v>1485.5</v>
      </c>
      <c r="H280" s="48">
        <f t="shared" si="16"/>
        <v>2.1342008328815076E-4</v>
      </c>
      <c r="N280" s="41"/>
    </row>
    <row r="281" spans="1:14" s="40" customFormat="1" ht="18.75" thickBot="1" x14ac:dyDescent="0.3">
      <c r="A281" s="42">
        <v>13</v>
      </c>
      <c r="B281" s="130"/>
      <c r="C281" s="131" t="s">
        <v>634</v>
      </c>
      <c r="D281" s="45"/>
      <c r="E281" s="46"/>
      <c r="F281" s="132"/>
      <c r="G281" s="72">
        <f>SUM(G282:G421)</f>
        <v>382558.59899999999</v>
      </c>
      <c r="H281" s="48">
        <f t="shared" si="16"/>
        <v>5.4961755679015997E-2</v>
      </c>
      <c r="N281" s="41"/>
    </row>
    <row r="282" spans="1:14" s="40" customFormat="1" ht="36" customHeight="1" x14ac:dyDescent="0.25">
      <c r="A282" s="50" t="s">
        <v>635</v>
      </c>
      <c r="B282" s="133" t="s">
        <v>636</v>
      </c>
      <c r="C282" s="143" t="str">
        <f>UPPER("Luminária de embutir com aletas, para lâmpada fluorescente, 2 x 32w, ref. TBS020232CIRL, da Philips, inclusive reator e lâmpada")</f>
        <v>LUMINÁRIA DE EMBUTIR COM ALETAS, PARA LÂMPADA FLUORESCENTE, 2 X 32W, REF. TBS020232CIRL, DA PHILIPS, INCLUSIVE REATOR E LÂMPADA</v>
      </c>
      <c r="D282" s="137" t="s">
        <v>52</v>
      </c>
      <c r="E282" s="136">
        <v>100</v>
      </c>
      <c r="F282" s="144">
        <v>232.78</v>
      </c>
      <c r="G282" s="120">
        <f t="shared" ref="G282:G377" si="17">F282*E282</f>
        <v>23278</v>
      </c>
      <c r="H282" s="48">
        <f t="shared" si="16"/>
        <v>3.3443235939290294E-3</v>
      </c>
      <c r="N282" s="41"/>
    </row>
    <row r="283" spans="1:14" s="40" customFormat="1" ht="36" customHeight="1" x14ac:dyDescent="0.25">
      <c r="A283" s="50" t="s">
        <v>637</v>
      </c>
      <c r="B283" s="133" t="s">
        <v>638</v>
      </c>
      <c r="C283" s="143" t="str">
        <f>UPPER("Luminária de sobrepor com aletas, para lâmpada fluorescente, 2 x 32w, ref. TCS020232CIRL, da Philips, inclusive reator e lâmpada")</f>
        <v>LUMINÁRIA DE SOBREPOR COM ALETAS, PARA LÂMPADA FLUORESCENTE, 2 X 32W, REF. TCS020232CIRL, DA PHILIPS, INCLUSIVE REATOR E LÂMPADA</v>
      </c>
      <c r="D283" s="135" t="s">
        <v>52</v>
      </c>
      <c r="E283" s="136">
        <v>50</v>
      </c>
      <c r="F283" s="144">
        <v>270.81</v>
      </c>
      <c r="G283" s="120">
        <f t="shared" si="17"/>
        <v>13540.5</v>
      </c>
      <c r="H283" s="48">
        <f t="shared" si="16"/>
        <v>1.9453481237046149E-3</v>
      </c>
      <c r="N283" s="41"/>
    </row>
    <row r="284" spans="1:14" s="40" customFormat="1" ht="36" customHeight="1" x14ac:dyDescent="0.25">
      <c r="A284" s="50" t="s">
        <v>639</v>
      </c>
      <c r="B284" s="133">
        <v>39387</v>
      </c>
      <c r="C284" s="143" t="s">
        <v>640</v>
      </c>
      <c r="D284" s="135" t="s">
        <v>52</v>
      </c>
      <c r="E284" s="136">
        <v>200</v>
      </c>
      <c r="F284" s="144">
        <v>15.89</v>
      </c>
      <c r="G284" s="120">
        <f t="shared" si="17"/>
        <v>3178</v>
      </c>
      <c r="H284" s="48">
        <f t="shared" si="16"/>
        <v>4.5657961944782434E-4</v>
      </c>
      <c r="N284" s="41"/>
    </row>
    <row r="285" spans="1:14" s="40" customFormat="1" ht="36" customHeight="1" x14ac:dyDescent="0.25">
      <c r="A285" s="50" t="s">
        <v>641</v>
      </c>
      <c r="B285" s="133" t="s">
        <v>642</v>
      </c>
      <c r="C285" s="143" t="s">
        <v>643</v>
      </c>
      <c r="D285" s="135" t="s">
        <v>52</v>
      </c>
      <c r="E285" s="136">
        <v>100</v>
      </c>
      <c r="F285" s="144">
        <v>65.430000000000007</v>
      </c>
      <c r="G285" s="120">
        <f t="shared" si="17"/>
        <v>6543.0000000000009</v>
      </c>
      <c r="H285" s="48">
        <f t="shared" si="16"/>
        <v>9.4002531467813569E-4</v>
      </c>
      <c r="N285" s="41"/>
    </row>
    <row r="286" spans="1:14" s="40" customFormat="1" ht="36" customHeight="1" x14ac:dyDescent="0.25">
      <c r="A286" s="50" t="s">
        <v>644</v>
      </c>
      <c r="B286" s="133" t="s">
        <v>645</v>
      </c>
      <c r="C286" s="143" t="s">
        <v>646</v>
      </c>
      <c r="D286" s="137" t="s">
        <v>38</v>
      </c>
      <c r="E286" s="136">
        <v>300</v>
      </c>
      <c r="F286" s="144">
        <v>32.71</v>
      </c>
      <c r="G286" s="120">
        <f t="shared" si="17"/>
        <v>9813</v>
      </c>
      <c r="H286" s="48">
        <f t="shared" si="16"/>
        <v>1.4098224687355257E-3</v>
      </c>
      <c r="N286" s="41"/>
    </row>
    <row r="287" spans="1:14" s="40" customFormat="1" ht="36" customHeight="1" x14ac:dyDescent="0.25">
      <c r="A287" s="50" t="s">
        <v>647</v>
      </c>
      <c r="B287" s="133" t="s">
        <v>648</v>
      </c>
      <c r="C287" s="143" t="str">
        <f>UPPER("Fixação de eletrocalhas com vergalhão Tirante com rosca total ø 1/4x1000mm marvitec ref. 1431 ou similar")</f>
        <v>FIXAÇÃO DE ELETROCALHAS COM VERGALHÃO TIRANTE COM ROSCA TOTAL Ø 1/4X1000MM MARVITEC REF. 1431 OU SIMILAR</v>
      </c>
      <c r="D287" s="135" t="s">
        <v>38</v>
      </c>
      <c r="E287" s="136">
        <f>SUM(E282:E283)</f>
        <v>150</v>
      </c>
      <c r="F287" s="144">
        <v>18.920000000000002</v>
      </c>
      <c r="G287" s="120">
        <f t="shared" si="17"/>
        <v>2838.0000000000005</v>
      </c>
      <c r="H287" s="48">
        <f t="shared" si="16"/>
        <v>4.0773220893421201E-4</v>
      </c>
      <c r="N287" s="41"/>
    </row>
    <row r="288" spans="1:14" s="40" customFormat="1" ht="36" customHeight="1" x14ac:dyDescent="0.25">
      <c r="A288" s="50" t="s">
        <v>649</v>
      </c>
      <c r="B288" s="133">
        <v>91863</v>
      </c>
      <c r="C288" s="143" t="s">
        <v>650</v>
      </c>
      <c r="D288" s="135" t="s">
        <v>38</v>
      </c>
      <c r="E288" s="136">
        <v>500</v>
      </c>
      <c r="F288" s="144">
        <v>8.7100000000000009</v>
      </c>
      <c r="G288" s="120">
        <f t="shared" si="17"/>
        <v>4355</v>
      </c>
      <c r="H288" s="48">
        <f t="shared" si="16"/>
        <v>6.2567786113759444E-4</v>
      </c>
      <c r="N288" s="41"/>
    </row>
    <row r="289" spans="1:14" s="40" customFormat="1" ht="36" customHeight="1" x14ac:dyDescent="0.25">
      <c r="A289" s="50" t="s">
        <v>651</v>
      </c>
      <c r="B289" s="133">
        <v>91864</v>
      </c>
      <c r="C289" s="143" t="s">
        <v>652</v>
      </c>
      <c r="D289" s="135" t="s">
        <v>38</v>
      </c>
      <c r="E289" s="136">
        <v>500</v>
      </c>
      <c r="F289" s="144">
        <v>11.26</v>
      </c>
      <c r="G289" s="120">
        <f t="shared" si="17"/>
        <v>5630</v>
      </c>
      <c r="H289" s="48">
        <f t="shared" si="16"/>
        <v>8.0885565056364097E-4</v>
      </c>
      <c r="N289" s="41"/>
    </row>
    <row r="290" spans="1:14" s="40" customFormat="1" ht="36" customHeight="1" x14ac:dyDescent="0.25">
      <c r="A290" s="50" t="s">
        <v>653</v>
      </c>
      <c r="B290" s="133">
        <v>91875</v>
      </c>
      <c r="C290" s="143" t="s">
        <v>654</v>
      </c>
      <c r="D290" s="135" t="s">
        <v>38</v>
      </c>
      <c r="E290" s="136">
        <v>50</v>
      </c>
      <c r="F290" s="144">
        <v>5.31</v>
      </c>
      <c r="G290" s="120">
        <f t="shared" si="17"/>
        <v>265.5</v>
      </c>
      <c r="H290" s="48">
        <f t="shared" si="16"/>
        <v>3.8144080856953233E-5</v>
      </c>
      <c r="N290" s="41"/>
    </row>
    <row r="291" spans="1:14" s="40" customFormat="1" ht="36" customHeight="1" x14ac:dyDescent="0.25">
      <c r="A291" s="50" t="s">
        <v>655</v>
      </c>
      <c r="B291" s="133">
        <v>91876</v>
      </c>
      <c r="C291" s="143" t="s">
        <v>656</v>
      </c>
      <c r="D291" s="135" t="s">
        <v>38</v>
      </c>
      <c r="E291" s="136">
        <v>50</v>
      </c>
      <c r="F291" s="144">
        <v>6.97</v>
      </c>
      <c r="G291" s="120">
        <f t="shared" si="17"/>
        <v>348.5</v>
      </c>
      <c r="H291" s="48">
        <f t="shared" si="16"/>
        <v>5.0068595776452738E-5</v>
      </c>
      <c r="N291" s="41"/>
    </row>
    <row r="292" spans="1:14" s="40" customFormat="1" ht="36" customHeight="1" x14ac:dyDescent="0.25">
      <c r="A292" s="50" t="s">
        <v>657</v>
      </c>
      <c r="B292" s="133">
        <v>91890</v>
      </c>
      <c r="C292" s="143" t="s">
        <v>658</v>
      </c>
      <c r="D292" s="135" t="s">
        <v>38</v>
      </c>
      <c r="E292" s="136">
        <v>50</v>
      </c>
      <c r="F292" s="144">
        <v>8.52</v>
      </c>
      <c r="G292" s="120">
        <f t="shared" si="17"/>
        <v>426</v>
      </c>
      <c r="H292" s="48">
        <f t="shared" si="16"/>
        <v>6.1202931996467335E-5</v>
      </c>
      <c r="N292" s="41"/>
    </row>
    <row r="293" spans="1:14" s="40" customFormat="1" ht="36" customHeight="1" x14ac:dyDescent="0.25">
      <c r="A293" s="50" t="s">
        <v>659</v>
      </c>
      <c r="B293" s="133">
        <v>91893</v>
      </c>
      <c r="C293" s="143" t="s">
        <v>660</v>
      </c>
      <c r="D293" s="135" t="s">
        <v>38</v>
      </c>
      <c r="E293" s="136">
        <v>50</v>
      </c>
      <c r="F293" s="144">
        <v>11.45</v>
      </c>
      <c r="G293" s="120">
        <f t="shared" si="17"/>
        <v>572.5</v>
      </c>
      <c r="H293" s="48">
        <f t="shared" si="16"/>
        <v>8.2250419173656214E-5</v>
      </c>
      <c r="N293" s="41"/>
    </row>
    <row r="294" spans="1:14" s="40" customFormat="1" ht="18" customHeight="1" x14ac:dyDescent="0.25">
      <c r="A294" s="50" t="s">
        <v>661</v>
      </c>
      <c r="B294" s="139">
        <v>91171</v>
      </c>
      <c r="C294" s="134" t="s">
        <v>662</v>
      </c>
      <c r="D294" s="135" t="s">
        <v>38</v>
      </c>
      <c r="E294" s="136">
        <v>1000</v>
      </c>
      <c r="F294" s="142">
        <v>3.16</v>
      </c>
      <c r="G294" s="120">
        <f t="shared" si="17"/>
        <v>3160</v>
      </c>
      <c r="H294" s="48">
        <f t="shared" si="16"/>
        <v>4.5399358006769193E-4</v>
      </c>
      <c r="N294" s="41"/>
    </row>
    <row r="295" spans="1:14" s="40" customFormat="1" ht="36" customHeight="1" x14ac:dyDescent="0.25">
      <c r="A295" s="50" t="s">
        <v>663</v>
      </c>
      <c r="B295" s="139" t="s">
        <v>479</v>
      </c>
      <c r="C295" s="143" t="s">
        <v>664</v>
      </c>
      <c r="D295" s="135" t="s">
        <v>38</v>
      </c>
      <c r="E295" s="136">
        <v>300</v>
      </c>
      <c r="F295" s="144">
        <f>[1]COMPOSIÇÕES!H48</f>
        <v>21.45834</v>
      </c>
      <c r="G295" s="120">
        <f t="shared" si="17"/>
        <v>6437.5019999999995</v>
      </c>
      <c r="H295" s="48">
        <f t="shared" si="16"/>
        <v>9.2486853787117937E-4</v>
      </c>
      <c r="N295" s="41"/>
    </row>
    <row r="296" spans="1:14" s="40" customFormat="1" ht="36" customHeight="1" x14ac:dyDescent="0.25">
      <c r="A296" s="50" t="s">
        <v>665</v>
      </c>
      <c r="B296" s="139" t="s">
        <v>479</v>
      </c>
      <c r="C296" s="143" t="s">
        <v>666</v>
      </c>
      <c r="D296" s="135" t="s">
        <v>38</v>
      </c>
      <c r="E296" s="136">
        <v>300</v>
      </c>
      <c r="F296" s="144">
        <f>[1]COMPOSIÇÕES!H56</f>
        <v>26.63814</v>
      </c>
      <c r="G296" s="120">
        <f t="shared" si="17"/>
        <v>7991.442</v>
      </c>
      <c r="H296" s="48">
        <f t="shared" si="16"/>
        <v>1.1481213175580113E-3</v>
      </c>
      <c r="N296" s="41"/>
    </row>
    <row r="297" spans="1:14" s="40" customFormat="1" ht="36" customHeight="1" x14ac:dyDescent="0.25">
      <c r="A297" s="50" t="s">
        <v>667</v>
      </c>
      <c r="B297" s="139" t="s">
        <v>479</v>
      </c>
      <c r="C297" s="143" t="str">
        <f>[1]COMPOSIÇÕES!D58</f>
        <v>INTERRUPTOR 2 TECLAS LINHA CONDULETE TOP TIGRE OU SIMILAR - FORNECIMENTO E INSTALAÇÃO</v>
      </c>
      <c r="D297" s="135" t="s">
        <v>52</v>
      </c>
      <c r="E297" s="136">
        <v>50</v>
      </c>
      <c r="F297" s="144">
        <f>[1]COMPOSIÇÕES!H66</f>
        <v>41.864260000000002</v>
      </c>
      <c r="G297" s="120">
        <f t="shared" si="17"/>
        <v>2093.2130000000002</v>
      </c>
      <c r="H297" s="48">
        <f t="shared" si="16"/>
        <v>3.0072951383361825E-4</v>
      </c>
      <c r="N297" s="41"/>
    </row>
    <row r="298" spans="1:14" s="40" customFormat="1" ht="36" customHeight="1" x14ac:dyDescent="0.25">
      <c r="A298" s="50" t="s">
        <v>668</v>
      </c>
      <c r="B298" s="139" t="s">
        <v>479</v>
      </c>
      <c r="C298" s="143" t="str">
        <f>[1]COMPOSIÇÕES!D68</f>
        <v>TOMADA 2P+T DUPLA 20A LINHA CONDULETE TOP TIGRE OU SIMILAR - FORNECIMENTO E INSTALAÇÃO</v>
      </c>
      <c r="D298" s="135" t="s">
        <v>52</v>
      </c>
      <c r="E298" s="136">
        <v>200</v>
      </c>
      <c r="F298" s="144">
        <f>[1]COMPOSIÇÕES!H76</f>
        <v>40.204259999999998</v>
      </c>
      <c r="G298" s="120">
        <f t="shared" si="17"/>
        <v>8040.8519999999999</v>
      </c>
      <c r="H298" s="48">
        <f t="shared" si="16"/>
        <v>1.1552199956564749E-3</v>
      </c>
      <c r="N298" s="41"/>
    </row>
    <row r="299" spans="1:14" s="40" customFormat="1" ht="36" customHeight="1" x14ac:dyDescent="0.25">
      <c r="A299" s="50" t="s">
        <v>669</v>
      </c>
      <c r="B299" s="139">
        <v>93009</v>
      </c>
      <c r="C299" s="143" t="s">
        <v>670</v>
      </c>
      <c r="D299" s="135" t="s">
        <v>38</v>
      </c>
      <c r="E299" s="136">
        <v>500</v>
      </c>
      <c r="F299" s="144">
        <v>16.350000000000001</v>
      </c>
      <c r="G299" s="120">
        <f t="shared" si="17"/>
        <v>8175.0000000000009</v>
      </c>
      <c r="H299" s="48">
        <f t="shared" si="16"/>
        <v>1.1744928851434753E-3</v>
      </c>
      <c r="N299" s="41"/>
    </row>
    <row r="300" spans="1:14" s="40" customFormat="1" ht="36" customHeight="1" x14ac:dyDescent="0.25">
      <c r="A300" s="50" t="s">
        <v>671</v>
      </c>
      <c r="B300" s="139">
        <v>93010</v>
      </c>
      <c r="C300" s="143" t="s">
        <v>672</v>
      </c>
      <c r="D300" s="135" t="s">
        <v>38</v>
      </c>
      <c r="E300" s="136">
        <v>300</v>
      </c>
      <c r="F300" s="144">
        <v>22.38</v>
      </c>
      <c r="G300" s="120">
        <f t="shared" si="17"/>
        <v>6714</v>
      </c>
      <c r="H300" s="48">
        <f t="shared" si="16"/>
        <v>9.6459268878939359E-4</v>
      </c>
      <c r="N300" s="41"/>
    </row>
    <row r="301" spans="1:14" s="40" customFormat="1" ht="36" customHeight="1" x14ac:dyDescent="0.25">
      <c r="A301" s="50" t="s">
        <v>673</v>
      </c>
      <c r="B301" s="139">
        <v>93011</v>
      </c>
      <c r="C301" s="143" t="s">
        <v>674</v>
      </c>
      <c r="D301" s="135" t="s">
        <v>38</v>
      </c>
      <c r="E301" s="136">
        <v>200</v>
      </c>
      <c r="F301" s="144">
        <v>27.12</v>
      </c>
      <c r="G301" s="120">
        <f t="shared" si="17"/>
        <v>5424</v>
      </c>
      <c r="H301" s="48">
        <f t="shared" si="16"/>
        <v>7.7925986654656999E-4</v>
      </c>
      <c r="N301" s="41"/>
    </row>
    <row r="302" spans="1:14" s="40" customFormat="1" ht="36" customHeight="1" x14ac:dyDescent="0.25">
      <c r="A302" s="50" t="s">
        <v>675</v>
      </c>
      <c r="B302" s="139">
        <v>91171</v>
      </c>
      <c r="C302" s="143" t="s">
        <v>662</v>
      </c>
      <c r="D302" s="135" t="s">
        <v>38</v>
      </c>
      <c r="E302" s="136">
        <f>SUM(E296:E298)+E285+E286</f>
        <v>950</v>
      </c>
      <c r="F302" s="144">
        <v>3.16</v>
      </c>
      <c r="G302" s="120">
        <f t="shared" si="17"/>
        <v>3002</v>
      </c>
      <c r="H302" s="48">
        <f t="shared" si="16"/>
        <v>4.3129390106430733E-4</v>
      </c>
      <c r="N302" s="41"/>
    </row>
    <row r="303" spans="1:14" s="40" customFormat="1" ht="36" customHeight="1" x14ac:dyDescent="0.25">
      <c r="A303" s="50" t="s">
        <v>676</v>
      </c>
      <c r="B303" s="139">
        <v>93014</v>
      </c>
      <c r="C303" s="143" t="s">
        <v>677</v>
      </c>
      <c r="D303" s="135" t="s">
        <v>52</v>
      </c>
      <c r="E303" s="136">
        <v>50</v>
      </c>
      <c r="F303" s="144">
        <v>14.15</v>
      </c>
      <c r="G303" s="120">
        <f t="shared" si="17"/>
        <v>707.5</v>
      </c>
      <c r="H303" s="48">
        <f t="shared" si="16"/>
        <v>1.0164571452464939E-4</v>
      </c>
      <c r="N303" s="41"/>
    </row>
    <row r="304" spans="1:14" s="40" customFormat="1" ht="36" customHeight="1" x14ac:dyDescent="0.25">
      <c r="A304" s="50" t="s">
        <v>678</v>
      </c>
      <c r="B304" s="139">
        <v>93015</v>
      </c>
      <c r="C304" s="143" t="s">
        <v>679</v>
      </c>
      <c r="D304" s="135" t="s">
        <v>52</v>
      </c>
      <c r="E304" s="136">
        <v>50</v>
      </c>
      <c r="F304" s="144">
        <v>20.010000000000002</v>
      </c>
      <c r="G304" s="120">
        <f t="shared" si="17"/>
        <v>1000.5000000000001</v>
      </c>
      <c r="H304" s="48">
        <f t="shared" si="16"/>
        <v>1.4374068887902718E-4</v>
      </c>
      <c r="N304" s="41"/>
    </row>
    <row r="305" spans="1:14" s="40" customFormat="1" ht="36" customHeight="1" x14ac:dyDescent="0.25">
      <c r="A305" s="50" t="s">
        <v>680</v>
      </c>
      <c r="B305" s="139">
        <v>93016</v>
      </c>
      <c r="C305" s="143" t="s">
        <v>681</v>
      </c>
      <c r="D305" s="135" t="s">
        <v>52</v>
      </c>
      <c r="E305" s="136">
        <v>50</v>
      </c>
      <c r="F305" s="144">
        <v>23.8</v>
      </c>
      <c r="G305" s="120">
        <f t="shared" si="17"/>
        <v>1190</v>
      </c>
      <c r="H305" s="48">
        <f t="shared" si="16"/>
        <v>1.7096593679764347E-4</v>
      </c>
      <c r="N305" s="41"/>
    </row>
    <row r="306" spans="1:14" s="40" customFormat="1" ht="36" customHeight="1" x14ac:dyDescent="0.25">
      <c r="A306" s="50" t="s">
        <v>682</v>
      </c>
      <c r="B306" s="139">
        <v>93020</v>
      </c>
      <c r="C306" s="143" t="s">
        <v>683</v>
      </c>
      <c r="D306" s="135" t="s">
        <v>52</v>
      </c>
      <c r="E306" s="136">
        <v>50</v>
      </c>
      <c r="F306" s="144">
        <v>22.14</v>
      </c>
      <c r="G306" s="120">
        <f t="shared" si="17"/>
        <v>1107</v>
      </c>
      <c r="H306" s="48">
        <f t="shared" si="16"/>
        <v>1.5904142187814398E-4</v>
      </c>
      <c r="N306" s="41"/>
    </row>
    <row r="307" spans="1:14" s="40" customFormat="1" ht="36" customHeight="1" x14ac:dyDescent="0.25">
      <c r="A307" s="50" t="s">
        <v>684</v>
      </c>
      <c r="B307" s="139">
        <v>91926</v>
      </c>
      <c r="C307" s="143" t="s">
        <v>685</v>
      </c>
      <c r="D307" s="135" t="s">
        <v>38</v>
      </c>
      <c r="E307" s="136">
        <v>2000</v>
      </c>
      <c r="F307" s="144">
        <v>2.89</v>
      </c>
      <c r="G307" s="120">
        <f t="shared" si="17"/>
        <v>5780</v>
      </c>
      <c r="H307" s="48">
        <f t="shared" si="16"/>
        <v>8.3040597873141123E-4</v>
      </c>
      <c r="N307" s="41"/>
    </row>
    <row r="308" spans="1:14" s="40" customFormat="1" ht="36" customHeight="1" x14ac:dyDescent="0.25">
      <c r="A308" s="50" t="s">
        <v>686</v>
      </c>
      <c r="B308" s="139">
        <v>91928</v>
      </c>
      <c r="C308" s="143" t="s">
        <v>687</v>
      </c>
      <c r="D308" s="135" t="s">
        <v>38</v>
      </c>
      <c r="E308" s="136">
        <v>2000</v>
      </c>
      <c r="F308" s="144">
        <v>4.5999999999999996</v>
      </c>
      <c r="G308" s="120">
        <f t="shared" si="17"/>
        <v>9200</v>
      </c>
      <c r="H308" s="48">
        <f t="shared" si="16"/>
        <v>1.3217534609565715E-3</v>
      </c>
      <c r="N308" s="41"/>
    </row>
    <row r="309" spans="1:14" s="40" customFormat="1" ht="36" customHeight="1" x14ac:dyDescent="0.25">
      <c r="A309" s="50" t="s">
        <v>688</v>
      </c>
      <c r="B309" s="139">
        <v>91930</v>
      </c>
      <c r="C309" s="143" t="s">
        <v>689</v>
      </c>
      <c r="D309" s="135" t="s">
        <v>38</v>
      </c>
      <c r="E309" s="136">
        <v>1000</v>
      </c>
      <c r="F309" s="144">
        <v>6.27</v>
      </c>
      <c r="G309" s="120">
        <f t="shared" si="17"/>
        <v>6270</v>
      </c>
      <c r="H309" s="48">
        <f t="shared" si="16"/>
        <v>9.0080371741279382E-4</v>
      </c>
      <c r="N309" s="41"/>
    </row>
    <row r="310" spans="1:14" s="40" customFormat="1" ht="36" customHeight="1" x14ac:dyDescent="0.25">
      <c r="A310" s="50" t="s">
        <v>690</v>
      </c>
      <c r="B310" s="139">
        <v>91935</v>
      </c>
      <c r="C310" s="143" t="s">
        <v>691</v>
      </c>
      <c r="D310" s="135" t="s">
        <v>38</v>
      </c>
      <c r="E310" s="136">
        <v>500</v>
      </c>
      <c r="F310" s="144">
        <v>16.440000000000001</v>
      </c>
      <c r="G310" s="120">
        <f t="shared" si="17"/>
        <v>8220</v>
      </c>
      <c r="H310" s="48">
        <f t="shared" si="16"/>
        <v>1.1809579835938063E-3</v>
      </c>
      <c r="N310" s="41"/>
    </row>
    <row r="311" spans="1:14" s="40" customFormat="1" ht="36" customHeight="1" x14ac:dyDescent="0.25">
      <c r="A311" s="50" t="s">
        <v>692</v>
      </c>
      <c r="B311" s="139">
        <v>92980</v>
      </c>
      <c r="C311" s="143" t="s">
        <v>693</v>
      </c>
      <c r="D311" s="135" t="s">
        <v>38</v>
      </c>
      <c r="E311" s="136">
        <v>500</v>
      </c>
      <c r="F311" s="144">
        <v>6.84</v>
      </c>
      <c r="G311" s="120">
        <f t="shared" si="17"/>
        <v>3420</v>
      </c>
      <c r="H311" s="48">
        <f t="shared" si="16"/>
        <v>4.9134748222516024E-4</v>
      </c>
      <c r="N311" s="41"/>
    </row>
    <row r="312" spans="1:14" s="40" customFormat="1" ht="36" customHeight="1" x14ac:dyDescent="0.25">
      <c r="A312" s="50" t="s">
        <v>694</v>
      </c>
      <c r="B312" s="139">
        <v>92984</v>
      </c>
      <c r="C312" s="143" t="s">
        <v>695</v>
      </c>
      <c r="D312" s="135" t="s">
        <v>38</v>
      </c>
      <c r="E312" s="136">
        <v>500</v>
      </c>
      <c r="F312" s="144">
        <v>17.66</v>
      </c>
      <c r="G312" s="120">
        <f t="shared" si="17"/>
        <v>8830</v>
      </c>
      <c r="H312" s="48">
        <f t="shared" si="16"/>
        <v>1.268595984809405E-3</v>
      </c>
      <c r="N312" s="41"/>
    </row>
    <row r="313" spans="1:14" s="40" customFormat="1" ht="36" customHeight="1" x14ac:dyDescent="0.25">
      <c r="A313" s="50" t="s">
        <v>696</v>
      </c>
      <c r="B313" s="139">
        <v>92986</v>
      </c>
      <c r="C313" s="143" t="s">
        <v>697</v>
      </c>
      <c r="D313" s="135" t="s">
        <v>38</v>
      </c>
      <c r="E313" s="136">
        <v>200</v>
      </c>
      <c r="F313" s="144">
        <v>23.68</v>
      </c>
      <c r="G313" s="120">
        <f t="shared" si="17"/>
        <v>4736</v>
      </c>
      <c r="H313" s="48">
        <f t="shared" si="16"/>
        <v>6.8041569468373065E-4</v>
      </c>
      <c r="N313" s="41"/>
    </row>
    <row r="314" spans="1:14" s="40" customFormat="1" ht="36" customHeight="1" x14ac:dyDescent="0.25">
      <c r="A314" s="50" t="s">
        <v>698</v>
      </c>
      <c r="B314" s="139">
        <v>92988</v>
      </c>
      <c r="C314" s="143" t="s">
        <v>699</v>
      </c>
      <c r="D314" s="135" t="s">
        <v>38</v>
      </c>
      <c r="E314" s="136">
        <v>100</v>
      </c>
      <c r="F314" s="144">
        <v>33.01</v>
      </c>
      <c r="G314" s="120">
        <f t="shared" si="17"/>
        <v>3301</v>
      </c>
      <c r="H314" s="48">
        <f t="shared" si="16"/>
        <v>4.7425088854539591E-4</v>
      </c>
      <c r="N314" s="41"/>
    </row>
    <row r="315" spans="1:14" s="40" customFormat="1" ht="36" customHeight="1" x14ac:dyDescent="0.25">
      <c r="A315" s="50" t="s">
        <v>700</v>
      </c>
      <c r="B315" s="139">
        <v>92992</v>
      </c>
      <c r="C315" s="143" t="s">
        <v>701</v>
      </c>
      <c r="D315" s="135" t="s">
        <v>38</v>
      </c>
      <c r="E315" s="136">
        <v>100</v>
      </c>
      <c r="F315" s="144">
        <v>59.36</v>
      </c>
      <c r="G315" s="120">
        <f t="shared" si="17"/>
        <v>5936</v>
      </c>
      <c r="H315" s="48">
        <f t="shared" si="16"/>
        <v>8.5281832002589216E-4</v>
      </c>
      <c r="N315" s="41"/>
    </row>
    <row r="316" spans="1:14" s="40" customFormat="1" ht="36" customHeight="1" x14ac:dyDescent="0.25">
      <c r="A316" s="50" t="s">
        <v>702</v>
      </c>
      <c r="B316" s="139">
        <v>92996</v>
      </c>
      <c r="C316" s="143" t="s">
        <v>703</v>
      </c>
      <c r="D316" s="135" t="s">
        <v>38</v>
      </c>
      <c r="E316" s="136">
        <v>100</v>
      </c>
      <c r="F316" s="144">
        <v>94.56</v>
      </c>
      <c r="G316" s="120">
        <f t="shared" si="17"/>
        <v>9456</v>
      </c>
      <c r="H316" s="48">
        <f t="shared" si="16"/>
        <v>1.3585326876962326E-3</v>
      </c>
      <c r="N316" s="41"/>
    </row>
    <row r="317" spans="1:14" s="40" customFormat="1" ht="54" x14ac:dyDescent="0.25">
      <c r="A317" s="50" t="s">
        <v>704</v>
      </c>
      <c r="B317" s="139">
        <v>93000</v>
      </c>
      <c r="C317" s="143" t="s">
        <v>705</v>
      </c>
      <c r="D317" s="135" t="s">
        <v>38</v>
      </c>
      <c r="E317" s="136">
        <v>100</v>
      </c>
      <c r="F317" s="144">
        <v>151.5</v>
      </c>
      <c r="G317" s="120">
        <f t="shared" si="17"/>
        <v>15150</v>
      </c>
      <c r="H317" s="48">
        <f t="shared" si="16"/>
        <v>2.176583144944789E-3</v>
      </c>
      <c r="N317" s="41"/>
    </row>
    <row r="318" spans="1:14" s="40" customFormat="1" ht="36" customHeight="1" x14ac:dyDescent="0.25">
      <c r="A318" s="50" t="s">
        <v>706</v>
      </c>
      <c r="B318" s="139">
        <v>95779</v>
      </c>
      <c r="C318" s="143" t="s">
        <v>707</v>
      </c>
      <c r="D318" s="135" t="s">
        <v>52</v>
      </c>
      <c r="E318" s="136">
        <v>100</v>
      </c>
      <c r="F318" s="144">
        <v>23.92</v>
      </c>
      <c r="G318" s="120">
        <f t="shared" si="17"/>
        <v>2392</v>
      </c>
      <c r="H318" s="48">
        <f t="shared" si="16"/>
        <v>3.4365589984870857E-4</v>
      </c>
      <c r="N318" s="41"/>
    </row>
    <row r="319" spans="1:14" s="40" customFormat="1" ht="36" customHeight="1" x14ac:dyDescent="0.25">
      <c r="A319" s="50" t="s">
        <v>708</v>
      </c>
      <c r="B319" s="139">
        <v>91940</v>
      </c>
      <c r="C319" s="143" t="s">
        <v>709</v>
      </c>
      <c r="D319" s="135" t="s">
        <v>52</v>
      </c>
      <c r="E319" s="136">
        <v>100</v>
      </c>
      <c r="F319" s="144">
        <v>12.5</v>
      </c>
      <c r="G319" s="120">
        <f t="shared" si="17"/>
        <v>1250</v>
      </c>
      <c r="H319" s="48">
        <f t="shared" si="16"/>
        <v>1.7958606806475156E-4</v>
      </c>
      <c r="N319" s="41"/>
    </row>
    <row r="320" spans="1:14" s="40" customFormat="1" ht="36" customHeight="1" x14ac:dyDescent="0.25">
      <c r="A320" s="50" t="s">
        <v>710</v>
      </c>
      <c r="B320" s="139">
        <v>91941</v>
      </c>
      <c r="C320" s="143" t="s">
        <v>711</v>
      </c>
      <c r="D320" s="135" t="s">
        <v>52</v>
      </c>
      <c r="E320" s="136">
        <v>100</v>
      </c>
      <c r="F320" s="144">
        <v>8.1</v>
      </c>
      <c r="G320" s="120">
        <f t="shared" si="17"/>
        <v>810</v>
      </c>
      <c r="H320" s="48">
        <f t="shared" si="16"/>
        <v>1.16371772105959E-4</v>
      </c>
      <c r="N320" s="41"/>
    </row>
    <row r="321" spans="1:14" s="40" customFormat="1" ht="36" customHeight="1" x14ac:dyDescent="0.25">
      <c r="A321" s="50" t="s">
        <v>712</v>
      </c>
      <c r="B321" s="139">
        <v>91967</v>
      </c>
      <c r="C321" s="143" t="s">
        <v>713</v>
      </c>
      <c r="D321" s="135" t="s">
        <v>52</v>
      </c>
      <c r="E321" s="136">
        <v>60</v>
      </c>
      <c r="F321" s="144">
        <v>46.13</v>
      </c>
      <c r="G321" s="120">
        <f t="shared" si="17"/>
        <v>2767.8</v>
      </c>
      <c r="H321" s="48">
        <f t="shared" si="16"/>
        <v>3.9764665535169553E-4</v>
      </c>
      <c r="N321" s="41"/>
    </row>
    <row r="322" spans="1:14" s="40" customFormat="1" ht="36" customHeight="1" x14ac:dyDescent="0.25">
      <c r="A322" s="50" t="s">
        <v>714</v>
      </c>
      <c r="B322" s="139">
        <v>91955</v>
      </c>
      <c r="C322" s="143" t="s">
        <v>715</v>
      </c>
      <c r="D322" s="135" t="s">
        <v>52</v>
      </c>
      <c r="E322" s="136">
        <v>60</v>
      </c>
      <c r="F322" s="144">
        <v>26.52</v>
      </c>
      <c r="G322" s="120">
        <f t="shared" si="17"/>
        <v>1591.2</v>
      </c>
      <c r="H322" s="48">
        <f t="shared" si="16"/>
        <v>2.2860588120370614E-4</v>
      </c>
      <c r="N322" s="41"/>
    </row>
    <row r="323" spans="1:14" s="40" customFormat="1" ht="36" customHeight="1" x14ac:dyDescent="0.25">
      <c r="A323" s="50" t="s">
        <v>716</v>
      </c>
      <c r="B323" s="139">
        <v>91959</v>
      </c>
      <c r="C323" s="143" t="s">
        <v>717</v>
      </c>
      <c r="D323" s="135" t="s">
        <v>52</v>
      </c>
      <c r="E323" s="136">
        <v>30</v>
      </c>
      <c r="F323" s="144">
        <v>33.74</v>
      </c>
      <c r="G323" s="120">
        <f t="shared" si="17"/>
        <v>1012.2</v>
      </c>
      <c r="H323" s="48">
        <f t="shared" si="16"/>
        <v>1.4542161447611324E-4</v>
      </c>
      <c r="N323" s="41"/>
    </row>
    <row r="324" spans="1:14" s="40" customFormat="1" ht="36" customHeight="1" x14ac:dyDescent="0.25">
      <c r="A324" s="50" t="s">
        <v>718</v>
      </c>
      <c r="B324" s="139">
        <v>91996</v>
      </c>
      <c r="C324" s="143" t="s">
        <v>719</v>
      </c>
      <c r="D324" s="135" t="s">
        <v>52</v>
      </c>
      <c r="E324" s="136">
        <v>50</v>
      </c>
      <c r="F324" s="144">
        <v>25.66</v>
      </c>
      <c r="G324" s="120">
        <f t="shared" si="17"/>
        <v>1283</v>
      </c>
      <c r="H324" s="48">
        <f t="shared" si="16"/>
        <v>1.8432714026166101E-4</v>
      </c>
      <c r="N324" s="41"/>
    </row>
    <row r="325" spans="1:14" s="40" customFormat="1" ht="36" customHeight="1" x14ac:dyDescent="0.25">
      <c r="A325" s="50" t="s">
        <v>720</v>
      </c>
      <c r="B325" s="139">
        <v>92004</v>
      </c>
      <c r="C325" s="143" t="s">
        <v>721</v>
      </c>
      <c r="D325" s="135" t="s">
        <v>52</v>
      </c>
      <c r="E325" s="136">
        <v>60</v>
      </c>
      <c r="F325" s="144">
        <v>42.32</v>
      </c>
      <c r="G325" s="120">
        <f t="shared" si="17"/>
        <v>2539.1999999999998</v>
      </c>
      <c r="H325" s="48">
        <f t="shared" ref="H325:H388" si="18">G325/$G$602</f>
        <v>3.6480395522401368E-4</v>
      </c>
      <c r="N325" s="41"/>
    </row>
    <row r="326" spans="1:14" s="40" customFormat="1" ht="36" customHeight="1" x14ac:dyDescent="0.25">
      <c r="A326" s="50" t="s">
        <v>722</v>
      </c>
      <c r="B326" s="139">
        <v>95787</v>
      </c>
      <c r="C326" s="143" t="s">
        <v>723</v>
      </c>
      <c r="D326" s="135" t="s">
        <v>52</v>
      </c>
      <c r="E326" s="136">
        <v>100</v>
      </c>
      <c r="F326" s="144">
        <v>25.65</v>
      </c>
      <c r="G326" s="120">
        <f t="shared" si="17"/>
        <v>2565</v>
      </c>
      <c r="H326" s="48">
        <f t="shared" si="18"/>
        <v>3.6851061166887018E-4</v>
      </c>
      <c r="N326" s="41"/>
    </row>
    <row r="327" spans="1:14" s="40" customFormat="1" ht="36" customHeight="1" x14ac:dyDescent="0.25">
      <c r="A327" s="50" t="s">
        <v>724</v>
      </c>
      <c r="B327" s="139">
        <v>95789</v>
      </c>
      <c r="C327" s="143" t="s">
        <v>725</v>
      </c>
      <c r="D327" s="135" t="s">
        <v>52</v>
      </c>
      <c r="E327" s="136">
        <v>200</v>
      </c>
      <c r="F327" s="144">
        <v>31.77</v>
      </c>
      <c r="G327" s="120">
        <f t="shared" si="17"/>
        <v>6354</v>
      </c>
      <c r="H327" s="48">
        <f t="shared" si="18"/>
        <v>9.1287190118674512E-4</v>
      </c>
      <c r="N327" s="41"/>
    </row>
    <row r="328" spans="1:14" s="40" customFormat="1" ht="36" customHeight="1" x14ac:dyDescent="0.25">
      <c r="A328" s="50" t="s">
        <v>726</v>
      </c>
      <c r="B328" s="139">
        <v>92985</v>
      </c>
      <c r="C328" s="143" t="s">
        <v>727</v>
      </c>
      <c r="D328" s="135" t="s">
        <v>38</v>
      </c>
      <c r="E328" s="136">
        <v>200</v>
      </c>
      <c r="F328" s="144">
        <v>17.87</v>
      </c>
      <c r="G328" s="120">
        <f t="shared" si="17"/>
        <v>3574</v>
      </c>
      <c r="H328" s="48">
        <f t="shared" si="18"/>
        <v>5.1347248581073762E-4</v>
      </c>
      <c r="N328" s="41"/>
    </row>
    <row r="329" spans="1:14" s="40" customFormat="1" ht="36" customHeight="1" x14ac:dyDescent="0.25">
      <c r="A329" s="50" t="s">
        <v>728</v>
      </c>
      <c r="B329" s="139">
        <v>92981</v>
      </c>
      <c r="C329" s="143" t="s">
        <v>729</v>
      </c>
      <c r="D329" s="135" t="s">
        <v>38</v>
      </c>
      <c r="E329" s="136">
        <v>200</v>
      </c>
      <c r="F329" s="144">
        <v>7.33</v>
      </c>
      <c r="G329" s="120">
        <f t="shared" si="17"/>
        <v>1466</v>
      </c>
      <c r="H329" s="48">
        <f t="shared" si="18"/>
        <v>2.1061854062634063E-4</v>
      </c>
      <c r="N329" s="41"/>
    </row>
    <row r="330" spans="1:14" s="40" customFormat="1" ht="36" customHeight="1" x14ac:dyDescent="0.25">
      <c r="A330" s="50" t="s">
        <v>730</v>
      </c>
      <c r="B330" s="139">
        <v>72259</v>
      </c>
      <c r="C330" s="143" t="s">
        <v>731</v>
      </c>
      <c r="D330" s="135" t="s">
        <v>52</v>
      </c>
      <c r="E330" s="136">
        <v>100</v>
      </c>
      <c r="F330" s="144">
        <v>13.99</v>
      </c>
      <c r="G330" s="120">
        <f t="shared" si="17"/>
        <v>1399</v>
      </c>
      <c r="H330" s="48">
        <f t="shared" si="18"/>
        <v>2.0099272737806996E-4</v>
      </c>
      <c r="N330" s="41"/>
    </row>
    <row r="331" spans="1:14" s="40" customFormat="1" ht="36" customHeight="1" x14ac:dyDescent="0.25">
      <c r="A331" s="50" t="s">
        <v>732</v>
      </c>
      <c r="B331" s="139">
        <v>72260</v>
      </c>
      <c r="C331" s="143" t="s">
        <v>733</v>
      </c>
      <c r="D331" s="135" t="s">
        <v>52</v>
      </c>
      <c r="E331" s="136">
        <v>100</v>
      </c>
      <c r="F331" s="144">
        <v>13.94</v>
      </c>
      <c r="G331" s="120">
        <f t="shared" si="17"/>
        <v>1394</v>
      </c>
      <c r="H331" s="48">
        <f t="shared" si="18"/>
        <v>2.0027438310581095E-4</v>
      </c>
      <c r="N331" s="41"/>
    </row>
    <row r="332" spans="1:14" s="40" customFormat="1" ht="36" customHeight="1" x14ac:dyDescent="0.25">
      <c r="A332" s="50" t="s">
        <v>734</v>
      </c>
      <c r="B332" s="139">
        <v>72262</v>
      </c>
      <c r="C332" s="143" t="s">
        <v>735</v>
      </c>
      <c r="D332" s="135" t="s">
        <v>52</v>
      </c>
      <c r="E332" s="136">
        <v>100</v>
      </c>
      <c r="F332" s="144">
        <v>14.65</v>
      </c>
      <c r="G332" s="120">
        <f t="shared" si="17"/>
        <v>1465</v>
      </c>
      <c r="H332" s="48">
        <f t="shared" si="18"/>
        <v>2.1047487177188883E-4</v>
      </c>
      <c r="N332" s="41"/>
    </row>
    <row r="333" spans="1:14" s="40" customFormat="1" ht="36" customHeight="1" x14ac:dyDescent="0.25">
      <c r="A333" s="50" t="s">
        <v>736</v>
      </c>
      <c r="B333" s="139">
        <v>1571</v>
      </c>
      <c r="C333" s="143" t="s">
        <v>737</v>
      </c>
      <c r="D333" s="135" t="s">
        <v>52</v>
      </c>
      <c r="E333" s="136">
        <v>500</v>
      </c>
      <c r="F333" s="144">
        <v>0.59</v>
      </c>
      <c r="G333" s="120">
        <f t="shared" si="17"/>
        <v>295</v>
      </c>
      <c r="H333" s="48">
        <f t="shared" si="18"/>
        <v>4.2382312063281366E-5</v>
      </c>
      <c r="N333" s="41"/>
    </row>
    <row r="334" spans="1:14" s="40" customFormat="1" ht="36" customHeight="1" x14ac:dyDescent="0.25">
      <c r="A334" s="50" t="s">
        <v>738</v>
      </c>
      <c r="B334" s="139">
        <v>91936</v>
      </c>
      <c r="C334" s="143" t="s">
        <v>739</v>
      </c>
      <c r="D334" s="135" t="s">
        <v>52</v>
      </c>
      <c r="E334" s="136">
        <v>50</v>
      </c>
      <c r="F334" s="144">
        <v>9.34</v>
      </c>
      <c r="G334" s="120">
        <f t="shared" si="17"/>
        <v>467</v>
      </c>
      <c r="H334" s="48">
        <f t="shared" si="18"/>
        <v>6.709335502899118E-5</v>
      </c>
      <c r="N334" s="41"/>
    </row>
    <row r="335" spans="1:14" s="40" customFormat="1" ht="36" customHeight="1" x14ac:dyDescent="0.25">
      <c r="A335" s="50" t="s">
        <v>740</v>
      </c>
      <c r="B335" s="139">
        <v>95805</v>
      </c>
      <c r="C335" s="143" t="s">
        <v>741</v>
      </c>
      <c r="D335" s="135" t="s">
        <v>404</v>
      </c>
      <c r="E335" s="136">
        <v>100</v>
      </c>
      <c r="F335" s="144">
        <v>18.649999999999999</v>
      </c>
      <c r="G335" s="120">
        <f t="shared" si="17"/>
        <v>1864.9999999999998</v>
      </c>
      <c r="H335" s="48">
        <f t="shared" si="18"/>
        <v>2.6794241355260928E-4</v>
      </c>
      <c r="N335" s="41"/>
    </row>
    <row r="336" spans="1:14" s="40" customFormat="1" ht="36" customHeight="1" x14ac:dyDescent="0.25">
      <c r="A336" s="50" t="s">
        <v>742</v>
      </c>
      <c r="B336" s="139">
        <v>95806</v>
      </c>
      <c r="C336" s="143" t="s">
        <v>743</v>
      </c>
      <c r="D336" s="135" t="s">
        <v>404</v>
      </c>
      <c r="E336" s="136">
        <v>20</v>
      </c>
      <c r="F336" s="144">
        <v>19.2</v>
      </c>
      <c r="G336" s="120">
        <f t="shared" si="17"/>
        <v>384</v>
      </c>
      <c r="H336" s="48">
        <f t="shared" si="18"/>
        <v>5.5168840109491675E-5</v>
      </c>
      <c r="N336" s="41"/>
    </row>
    <row r="337" spans="1:14" s="40" customFormat="1" ht="36" customHeight="1" x14ac:dyDescent="0.25">
      <c r="A337" s="50" t="s">
        <v>744</v>
      </c>
      <c r="B337" s="139">
        <v>95808</v>
      </c>
      <c r="C337" s="143" t="s">
        <v>745</v>
      </c>
      <c r="D337" s="135" t="s">
        <v>404</v>
      </c>
      <c r="E337" s="136">
        <v>100</v>
      </c>
      <c r="F337" s="144">
        <v>21.98</v>
      </c>
      <c r="G337" s="120">
        <f t="shared" si="17"/>
        <v>2198</v>
      </c>
      <c r="H337" s="48">
        <f t="shared" si="18"/>
        <v>3.1578414208505916E-4</v>
      </c>
      <c r="N337" s="41"/>
    </row>
    <row r="338" spans="1:14" s="40" customFormat="1" ht="36" customHeight="1" x14ac:dyDescent="0.25">
      <c r="A338" s="50" t="s">
        <v>746</v>
      </c>
      <c r="B338" s="139">
        <v>95809</v>
      </c>
      <c r="C338" s="143" t="s">
        <v>747</v>
      </c>
      <c r="D338" s="135" t="s">
        <v>404</v>
      </c>
      <c r="E338" s="136">
        <v>20</v>
      </c>
      <c r="F338" s="144">
        <v>23.91</v>
      </c>
      <c r="G338" s="120">
        <f t="shared" si="17"/>
        <v>478.2</v>
      </c>
      <c r="H338" s="48">
        <f t="shared" si="18"/>
        <v>6.8702446198851353E-5</v>
      </c>
      <c r="N338" s="41"/>
    </row>
    <row r="339" spans="1:14" s="40" customFormat="1" ht="36" customHeight="1" x14ac:dyDescent="0.25">
      <c r="A339" s="50" t="s">
        <v>748</v>
      </c>
      <c r="B339" s="139">
        <v>95811</v>
      </c>
      <c r="C339" s="143" t="s">
        <v>749</v>
      </c>
      <c r="D339" s="135" t="s">
        <v>404</v>
      </c>
      <c r="E339" s="136">
        <v>50</v>
      </c>
      <c r="F339" s="144">
        <v>10.56</v>
      </c>
      <c r="G339" s="120">
        <f t="shared" si="17"/>
        <v>528</v>
      </c>
      <c r="H339" s="48">
        <f t="shared" si="18"/>
        <v>7.585715515055106E-5</v>
      </c>
      <c r="N339" s="41"/>
    </row>
    <row r="340" spans="1:14" s="40" customFormat="1" ht="36" customHeight="1" x14ac:dyDescent="0.25">
      <c r="A340" s="50" t="s">
        <v>750</v>
      </c>
      <c r="B340" s="139">
        <v>95812</v>
      </c>
      <c r="C340" s="143" t="s">
        <v>751</v>
      </c>
      <c r="D340" s="135" t="s">
        <v>404</v>
      </c>
      <c r="E340" s="136">
        <v>5</v>
      </c>
      <c r="F340" s="144">
        <v>12.49</v>
      </c>
      <c r="G340" s="120">
        <f t="shared" si="17"/>
        <v>62.45</v>
      </c>
      <c r="H340" s="48">
        <f t="shared" si="18"/>
        <v>8.972119960514988E-6</v>
      </c>
      <c r="N340" s="41"/>
    </row>
    <row r="341" spans="1:14" s="40" customFormat="1" ht="36" customHeight="1" x14ac:dyDescent="0.25">
      <c r="A341" s="50" t="s">
        <v>752</v>
      </c>
      <c r="B341" s="139">
        <v>95814</v>
      </c>
      <c r="C341" s="143" t="s">
        <v>753</v>
      </c>
      <c r="D341" s="135" t="s">
        <v>404</v>
      </c>
      <c r="E341" s="136">
        <v>20</v>
      </c>
      <c r="F341" s="144">
        <v>13.29</v>
      </c>
      <c r="G341" s="120">
        <f t="shared" si="17"/>
        <v>265.79999999999995</v>
      </c>
      <c r="H341" s="48">
        <f t="shared" si="18"/>
        <v>3.8187181513288766E-5</v>
      </c>
      <c r="N341" s="41"/>
    </row>
    <row r="342" spans="1:14" s="40" customFormat="1" ht="36" customHeight="1" x14ac:dyDescent="0.25">
      <c r="A342" s="50" t="s">
        <v>754</v>
      </c>
      <c r="B342" s="139">
        <v>95815</v>
      </c>
      <c r="C342" s="143" t="s">
        <v>755</v>
      </c>
      <c r="D342" s="135" t="s">
        <v>404</v>
      </c>
      <c r="E342" s="136">
        <v>5</v>
      </c>
      <c r="F342" s="144">
        <v>16.850000000000001</v>
      </c>
      <c r="G342" s="120">
        <f t="shared" si="17"/>
        <v>84.25</v>
      </c>
      <c r="H342" s="48">
        <f t="shared" si="18"/>
        <v>1.2104100987564255E-5</v>
      </c>
      <c r="N342" s="41"/>
    </row>
    <row r="343" spans="1:14" s="40" customFormat="1" ht="36" customHeight="1" x14ac:dyDescent="0.25">
      <c r="A343" s="50" t="s">
        <v>756</v>
      </c>
      <c r="B343" s="139">
        <v>95817</v>
      </c>
      <c r="C343" s="143" t="s">
        <v>757</v>
      </c>
      <c r="D343" s="135" t="s">
        <v>404</v>
      </c>
      <c r="E343" s="136">
        <v>100</v>
      </c>
      <c r="F343" s="144">
        <v>27.31</v>
      </c>
      <c r="G343" s="120">
        <f t="shared" si="17"/>
        <v>2731</v>
      </c>
      <c r="H343" s="48">
        <f t="shared" si="18"/>
        <v>3.9235964150786918E-4</v>
      </c>
      <c r="N343" s="41"/>
    </row>
    <row r="344" spans="1:14" s="40" customFormat="1" ht="36" customHeight="1" x14ac:dyDescent="0.25">
      <c r="A344" s="50" t="s">
        <v>758</v>
      </c>
      <c r="B344" s="139">
        <v>95818</v>
      </c>
      <c r="C344" s="143" t="s">
        <v>759</v>
      </c>
      <c r="D344" s="135" t="s">
        <v>404</v>
      </c>
      <c r="E344" s="136">
        <v>15</v>
      </c>
      <c r="F344" s="144">
        <v>32.090000000000003</v>
      </c>
      <c r="G344" s="120">
        <f t="shared" si="17"/>
        <v>481.35</v>
      </c>
      <c r="H344" s="48">
        <f t="shared" si="18"/>
        <v>6.9155003090374539E-5</v>
      </c>
      <c r="N344" s="41"/>
    </row>
    <row r="345" spans="1:14" s="40" customFormat="1" ht="36" customHeight="1" x14ac:dyDescent="0.25">
      <c r="A345" s="50" t="s">
        <v>760</v>
      </c>
      <c r="B345" s="139" t="s">
        <v>761</v>
      </c>
      <c r="C345" s="143" t="s">
        <v>762</v>
      </c>
      <c r="D345" s="135" t="s">
        <v>404</v>
      </c>
      <c r="E345" s="136">
        <v>300</v>
      </c>
      <c r="F345" s="144">
        <v>4.87</v>
      </c>
      <c r="G345" s="120">
        <f t="shared" si="17"/>
        <v>1461</v>
      </c>
      <c r="H345" s="48">
        <f t="shared" si="18"/>
        <v>2.0990019635408163E-4</v>
      </c>
      <c r="N345" s="41"/>
    </row>
    <row r="346" spans="1:14" s="40" customFormat="1" ht="36" customHeight="1" x14ac:dyDescent="0.25">
      <c r="A346" s="50" t="s">
        <v>763</v>
      </c>
      <c r="B346" s="139">
        <v>90462</v>
      </c>
      <c r="C346" s="143" t="s">
        <v>764</v>
      </c>
      <c r="D346" s="135" t="s">
        <v>152</v>
      </c>
      <c r="E346" s="136">
        <v>300</v>
      </c>
      <c r="F346" s="144">
        <v>1.06</v>
      </c>
      <c r="G346" s="120">
        <f t="shared" si="17"/>
        <v>318</v>
      </c>
      <c r="H346" s="48">
        <f t="shared" si="18"/>
        <v>4.5686695715672798E-5</v>
      </c>
      <c r="N346" s="41"/>
    </row>
    <row r="347" spans="1:14" s="40" customFormat="1" ht="36" customHeight="1" x14ac:dyDescent="0.25">
      <c r="A347" s="50" t="s">
        <v>765</v>
      </c>
      <c r="B347" s="139" t="s">
        <v>766</v>
      </c>
      <c r="C347" s="143" t="s">
        <v>767</v>
      </c>
      <c r="D347" s="135" t="s">
        <v>404</v>
      </c>
      <c r="E347" s="136">
        <v>100</v>
      </c>
      <c r="F347" s="144">
        <v>3.67</v>
      </c>
      <c r="G347" s="120">
        <f t="shared" si="17"/>
        <v>367</v>
      </c>
      <c r="H347" s="48">
        <f t="shared" si="18"/>
        <v>5.2726469583811055E-5</v>
      </c>
      <c r="N347" s="41"/>
    </row>
    <row r="348" spans="1:14" s="40" customFormat="1" ht="36" customHeight="1" x14ac:dyDescent="0.25">
      <c r="A348" s="50" t="s">
        <v>768</v>
      </c>
      <c r="B348" s="139" t="s">
        <v>769</v>
      </c>
      <c r="C348" s="143" t="s">
        <v>770</v>
      </c>
      <c r="D348" s="135" t="s">
        <v>404</v>
      </c>
      <c r="E348" s="136">
        <v>20</v>
      </c>
      <c r="F348" s="144">
        <v>5.38</v>
      </c>
      <c r="G348" s="120">
        <f t="shared" si="17"/>
        <v>107.6</v>
      </c>
      <c r="H348" s="48">
        <f t="shared" si="18"/>
        <v>1.5458768739013815E-5</v>
      </c>
      <c r="N348" s="41"/>
    </row>
    <row r="349" spans="1:14" s="40" customFormat="1" ht="36" customHeight="1" x14ac:dyDescent="0.25">
      <c r="A349" s="50" t="s">
        <v>771</v>
      </c>
      <c r="B349" s="139" t="s">
        <v>772</v>
      </c>
      <c r="C349" s="143" t="s">
        <v>773</v>
      </c>
      <c r="D349" s="135" t="s">
        <v>404</v>
      </c>
      <c r="E349" s="136">
        <v>20</v>
      </c>
      <c r="F349" s="144">
        <v>5.83</v>
      </c>
      <c r="G349" s="120">
        <f t="shared" si="17"/>
        <v>116.6</v>
      </c>
      <c r="H349" s="48">
        <f t="shared" si="18"/>
        <v>1.6751788429080025E-5</v>
      </c>
      <c r="N349" s="41"/>
    </row>
    <row r="350" spans="1:14" s="40" customFormat="1" ht="36" customHeight="1" x14ac:dyDescent="0.25">
      <c r="A350" s="50" t="s">
        <v>774</v>
      </c>
      <c r="B350" s="139" t="s">
        <v>775</v>
      </c>
      <c r="C350" s="143" t="s">
        <v>776</v>
      </c>
      <c r="D350" s="135" t="s">
        <v>404</v>
      </c>
      <c r="E350" s="136">
        <v>120</v>
      </c>
      <c r="F350" s="144">
        <v>6.4</v>
      </c>
      <c r="G350" s="120">
        <f t="shared" si="17"/>
        <v>768</v>
      </c>
      <c r="H350" s="48">
        <f t="shared" si="18"/>
        <v>1.1033768021898335E-4</v>
      </c>
      <c r="N350" s="41"/>
    </row>
    <row r="351" spans="1:14" s="40" customFormat="1" ht="36" customHeight="1" x14ac:dyDescent="0.25">
      <c r="A351" s="50" t="s">
        <v>777</v>
      </c>
      <c r="B351" s="139" t="s">
        <v>778</v>
      </c>
      <c r="C351" s="143" t="s">
        <v>779</v>
      </c>
      <c r="D351" s="135" t="s">
        <v>404</v>
      </c>
      <c r="E351" s="136">
        <v>20</v>
      </c>
      <c r="F351" s="144">
        <v>7</v>
      </c>
      <c r="G351" s="120">
        <f t="shared" si="17"/>
        <v>140</v>
      </c>
      <c r="H351" s="48">
        <f t="shared" si="18"/>
        <v>2.0113639623252176E-5</v>
      </c>
      <c r="N351" s="41"/>
    </row>
    <row r="352" spans="1:14" s="40" customFormat="1" ht="36" customHeight="1" x14ac:dyDescent="0.25">
      <c r="A352" s="50" t="s">
        <v>780</v>
      </c>
      <c r="B352" s="139">
        <v>91953</v>
      </c>
      <c r="C352" s="143" t="s">
        <v>781</v>
      </c>
      <c r="D352" s="135" t="s">
        <v>404</v>
      </c>
      <c r="E352" s="136">
        <v>80</v>
      </c>
      <c r="F352" s="144">
        <v>21.36</v>
      </c>
      <c r="G352" s="120">
        <f t="shared" si="17"/>
        <v>1708.8</v>
      </c>
      <c r="H352" s="48">
        <f t="shared" si="18"/>
        <v>2.4550133848723799E-4</v>
      </c>
      <c r="N352" s="41"/>
    </row>
    <row r="353" spans="1:14" s="40" customFormat="1" ht="36" customHeight="1" x14ac:dyDescent="0.25">
      <c r="A353" s="50" t="s">
        <v>782</v>
      </c>
      <c r="B353" s="139">
        <v>91955</v>
      </c>
      <c r="C353" s="143" t="s">
        <v>715</v>
      </c>
      <c r="D353" s="135" t="s">
        <v>404</v>
      </c>
      <c r="E353" s="136">
        <v>10</v>
      </c>
      <c r="F353" s="144">
        <v>26.52</v>
      </c>
      <c r="G353" s="120">
        <f t="shared" si="17"/>
        <v>265.2</v>
      </c>
      <c r="H353" s="48">
        <f t="shared" si="18"/>
        <v>3.8100980200617692E-5</v>
      </c>
      <c r="N353" s="41"/>
    </row>
    <row r="354" spans="1:14" s="40" customFormat="1" ht="36" customHeight="1" x14ac:dyDescent="0.25">
      <c r="A354" s="50" t="s">
        <v>783</v>
      </c>
      <c r="B354" s="139">
        <v>91957</v>
      </c>
      <c r="C354" s="143" t="s">
        <v>784</v>
      </c>
      <c r="D354" s="135" t="s">
        <v>404</v>
      </c>
      <c r="E354" s="136">
        <v>10</v>
      </c>
      <c r="F354" s="144">
        <v>38.869999999999997</v>
      </c>
      <c r="G354" s="120">
        <f t="shared" si="17"/>
        <v>388.7</v>
      </c>
      <c r="H354" s="48">
        <f t="shared" si="18"/>
        <v>5.584408372541514E-5</v>
      </c>
      <c r="N354" s="41"/>
    </row>
    <row r="355" spans="1:14" s="40" customFormat="1" ht="36" customHeight="1" x14ac:dyDescent="0.25">
      <c r="A355" s="50" t="s">
        <v>785</v>
      </c>
      <c r="B355" s="139">
        <v>91959</v>
      </c>
      <c r="C355" s="143" t="s">
        <v>717</v>
      </c>
      <c r="D355" s="135" t="s">
        <v>404</v>
      </c>
      <c r="E355" s="136">
        <v>30</v>
      </c>
      <c r="F355" s="144">
        <v>33.74</v>
      </c>
      <c r="G355" s="120">
        <f t="shared" si="17"/>
        <v>1012.2</v>
      </c>
      <c r="H355" s="48">
        <f t="shared" si="18"/>
        <v>1.4542161447611324E-4</v>
      </c>
      <c r="N355" s="41"/>
    </row>
    <row r="356" spans="1:14" s="40" customFormat="1" ht="36" customHeight="1" x14ac:dyDescent="0.25">
      <c r="A356" s="50" t="s">
        <v>786</v>
      </c>
      <c r="B356" s="139">
        <v>91967</v>
      </c>
      <c r="C356" s="143" t="s">
        <v>787</v>
      </c>
      <c r="D356" s="135" t="s">
        <v>404</v>
      </c>
      <c r="E356" s="136">
        <v>10</v>
      </c>
      <c r="F356" s="144">
        <v>46.13</v>
      </c>
      <c r="G356" s="120">
        <f t="shared" si="17"/>
        <v>461.3</v>
      </c>
      <c r="H356" s="48">
        <f t="shared" si="18"/>
        <v>6.6274442558615916E-5</v>
      </c>
      <c r="N356" s="41"/>
    </row>
    <row r="357" spans="1:14" s="40" customFormat="1" ht="36" customHeight="1" x14ac:dyDescent="0.25">
      <c r="A357" s="50" t="s">
        <v>788</v>
      </c>
      <c r="B357" s="139">
        <v>91992</v>
      </c>
      <c r="C357" s="143" t="s">
        <v>789</v>
      </c>
      <c r="D357" s="135" t="s">
        <v>404</v>
      </c>
      <c r="E357" s="136">
        <v>30</v>
      </c>
      <c r="F357" s="144">
        <v>33.770000000000003</v>
      </c>
      <c r="G357" s="120">
        <f t="shared" si="17"/>
        <v>1013.1000000000001</v>
      </c>
      <c r="H357" s="48">
        <f t="shared" si="18"/>
        <v>1.4555091644511987E-4</v>
      </c>
      <c r="N357" s="41"/>
    </row>
    <row r="358" spans="1:14" s="40" customFormat="1" ht="36" customHeight="1" x14ac:dyDescent="0.25">
      <c r="A358" s="50" t="s">
        <v>790</v>
      </c>
      <c r="B358" s="139">
        <v>91993</v>
      </c>
      <c r="C358" s="143" t="s">
        <v>791</v>
      </c>
      <c r="D358" s="135" t="s">
        <v>404</v>
      </c>
      <c r="E358" s="136">
        <v>30</v>
      </c>
      <c r="F358" s="144">
        <v>35.44</v>
      </c>
      <c r="G358" s="120">
        <f t="shared" si="17"/>
        <v>1063.1999999999998</v>
      </c>
      <c r="H358" s="48">
        <f t="shared" si="18"/>
        <v>1.5274872605315507E-4</v>
      </c>
      <c r="N358" s="41"/>
    </row>
    <row r="359" spans="1:14" s="40" customFormat="1" ht="36" customHeight="1" x14ac:dyDescent="0.25">
      <c r="A359" s="50" t="s">
        <v>792</v>
      </c>
      <c r="B359" s="139">
        <v>91996</v>
      </c>
      <c r="C359" s="143" t="s">
        <v>719</v>
      </c>
      <c r="D359" s="135" t="s">
        <v>404</v>
      </c>
      <c r="E359" s="136">
        <v>50</v>
      </c>
      <c r="F359" s="144">
        <v>25.66</v>
      </c>
      <c r="G359" s="120">
        <f t="shared" si="17"/>
        <v>1283</v>
      </c>
      <c r="H359" s="48">
        <f t="shared" si="18"/>
        <v>1.8432714026166101E-4</v>
      </c>
      <c r="N359" s="41"/>
    </row>
    <row r="360" spans="1:14" s="40" customFormat="1" ht="36" customHeight="1" x14ac:dyDescent="0.25">
      <c r="A360" s="50" t="s">
        <v>793</v>
      </c>
      <c r="B360" s="139">
        <v>91997</v>
      </c>
      <c r="C360" s="143" t="s">
        <v>794</v>
      </c>
      <c r="D360" s="135" t="s">
        <v>404</v>
      </c>
      <c r="E360" s="136">
        <v>30</v>
      </c>
      <c r="F360" s="144">
        <v>27.33</v>
      </c>
      <c r="G360" s="120">
        <f t="shared" si="17"/>
        <v>819.9</v>
      </c>
      <c r="H360" s="48">
        <f t="shared" si="18"/>
        <v>1.1779409376503184E-4</v>
      </c>
      <c r="N360" s="41"/>
    </row>
    <row r="361" spans="1:14" s="40" customFormat="1" ht="36" customHeight="1" x14ac:dyDescent="0.25">
      <c r="A361" s="50" t="s">
        <v>795</v>
      </c>
      <c r="B361" s="139">
        <v>92004</v>
      </c>
      <c r="C361" s="143" t="s">
        <v>721</v>
      </c>
      <c r="D361" s="135" t="s">
        <v>404</v>
      </c>
      <c r="E361" s="136">
        <v>60</v>
      </c>
      <c r="F361" s="144">
        <v>42.32</v>
      </c>
      <c r="G361" s="120">
        <f t="shared" si="17"/>
        <v>2539.1999999999998</v>
      </c>
      <c r="H361" s="48">
        <f t="shared" si="18"/>
        <v>3.6480395522401368E-4</v>
      </c>
      <c r="N361" s="41"/>
    </row>
    <row r="362" spans="1:14" s="40" customFormat="1" ht="36" customHeight="1" x14ac:dyDescent="0.25">
      <c r="A362" s="50" t="s">
        <v>796</v>
      </c>
      <c r="B362" s="139">
        <v>92000</v>
      </c>
      <c r="C362" s="143" t="s">
        <v>797</v>
      </c>
      <c r="D362" s="135" t="s">
        <v>404</v>
      </c>
      <c r="E362" s="136">
        <v>50</v>
      </c>
      <c r="F362" s="144">
        <v>22.51</v>
      </c>
      <c r="G362" s="120">
        <f t="shared" si="17"/>
        <v>1125.5</v>
      </c>
      <c r="H362" s="48">
        <f t="shared" si="18"/>
        <v>1.616992956855023E-4</v>
      </c>
      <c r="N362" s="41"/>
    </row>
    <row r="363" spans="1:14" s="40" customFormat="1" ht="36" customHeight="1" x14ac:dyDescent="0.25">
      <c r="A363" s="50" t="s">
        <v>798</v>
      </c>
      <c r="B363" s="139">
        <v>92006</v>
      </c>
      <c r="C363" s="143" t="s">
        <v>799</v>
      </c>
      <c r="D363" s="135" t="s">
        <v>404</v>
      </c>
      <c r="E363" s="136">
        <v>30</v>
      </c>
      <c r="F363" s="144">
        <v>29.63</v>
      </c>
      <c r="G363" s="120">
        <f t="shared" si="17"/>
        <v>888.9</v>
      </c>
      <c r="H363" s="48">
        <f t="shared" si="18"/>
        <v>1.2770724472220611E-4</v>
      </c>
      <c r="N363" s="41"/>
    </row>
    <row r="364" spans="1:14" s="40" customFormat="1" ht="36" customHeight="1" x14ac:dyDescent="0.25">
      <c r="A364" s="50" t="s">
        <v>800</v>
      </c>
      <c r="B364" s="139">
        <v>91945</v>
      </c>
      <c r="C364" s="143" t="s">
        <v>801</v>
      </c>
      <c r="D364" s="135" t="s">
        <v>404</v>
      </c>
      <c r="E364" s="136">
        <v>100</v>
      </c>
      <c r="F364" s="144">
        <v>7.8</v>
      </c>
      <c r="G364" s="120">
        <f t="shared" si="17"/>
        <v>780</v>
      </c>
      <c r="H364" s="48">
        <f t="shared" si="18"/>
        <v>1.1206170647240497E-4</v>
      </c>
      <c r="N364" s="41"/>
    </row>
    <row r="365" spans="1:14" s="40" customFormat="1" ht="36" customHeight="1" x14ac:dyDescent="0.25">
      <c r="A365" s="50" t="s">
        <v>802</v>
      </c>
      <c r="B365" s="139">
        <v>91946</v>
      </c>
      <c r="C365" s="143" t="s">
        <v>803</v>
      </c>
      <c r="D365" s="135" t="s">
        <v>404</v>
      </c>
      <c r="E365" s="136">
        <v>20</v>
      </c>
      <c r="F365" s="144">
        <v>6.39</v>
      </c>
      <c r="G365" s="120">
        <f t="shared" si="17"/>
        <v>127.8</v>
      </c>
      <c r="H365" s="48">
        <f t="shared" si="18"/>
        <v>1.83608795989402E-5</v>
      </c>
      <c r="N365" s="41"/>
    </row>
    <row r="366" spans="1:14" s="40" customFormat="1" ht="36" customHeight="1" x14ac:dyDescent="0.25">
      <c r="A366" s="50" t="s">
        <v>804</v>
      </c>
      <c r="B366" s="139">
        <v>91947</v>
      </c>
      <c r="C366" s="143" t="s">
        <v>805</v>
      </c>
      <c r="D366" s="135" t="s">
        <v>404</v>
      </c>
      <c r="E366" s="136">
        <v>20</v>
      </c>
      <c r="F366" s="144">
        <v>5.52</v>
      </c>
      <c r="G366" s="120">
        <f t="shared" si="17"/>
        <v>110.39999999999999</v>
      </c>
      <c r="H366" s="48">
        <f t="shared" si="18"/>
        <v>1.5861041531478858E-5</v>
      </c>
      <c r="N366" s="41"/>
    </row>
    <row r="367" spans="1:14" s="40" customFormat="1" ht="36" customHeight="1" x14ac:dyDescent="0.25">
      <c r="A367" s="50" t="s">
        <v>806</v>
      </c>
      <c r="B367" s="139">
        <v>92023</v>
      </c>
      <c r="C367" s="143" t="s">
        <v>807</v>
      </c>
      <c r="D367" s="135" t="s">
        <v>404</v>
      </c>
      <c r="E367" s="136">
        <v>20</v>
      </c>
      <c r="F367" s="144">
        <v>38.01</v>
      </c>
      <c r="G367" s="120">
        <f t="shared" si="17"/>
        <v>760.19999999999993</v>
      </c>
      <c r="H367" s="48">
        <f t="shared" si="18"/>
        <v>1.092170631542593E-4</v>
      </c>
      <c r="N367" s="41"/>
    </row>
    <row r="368" spans="1:14" s="40" customFormat="1" ht="36" customHeight="1" x14ac:dyDescent="0.25">
      <c r="A368" s="50" t="s">
        <v>808</v>
      </c>
      <c r="B368" s="139">
        <v>95733</v>
      </c>
      <c r="C368" s="143" t="s">
        <v>809</v>
      </c>
      <c r="D368" s="135" t="s">
        <v>404</v>
      </c>
      <c r="E368" s="136">
        <v>40</v>
      </c>
      <c r="F368" s="144">
        <v>4.6399999999999997</v>
      </c>
      <c r="G368" s="120">
        <f t="shared" si="17"/>
        <v>185.6</v>
      </c>
      <c r="H368" s="48">
        <f t="shared" si="18"/>
        <v>2.6664939386254311E-5</v>
      </c>
      <c r="N368" s="41"/>
    </row>
    <row r="369" spans="1:14" s="40" customFormat="1" ht="36" customHeight="1" x14ac:dyDescent="0.25">
      <c r="A369" s="50" t="s">
        <v>810</v>
      </c>
      <c r="B369" s="139">
        <v>95734</v>
      </c>
      <c r="C369" s="143" t="s">
        <v>811</v>
      </c>
      <c r="D369" s="135" t="s">
        <v>404</v>
      </c>
      <c r="E369" s="136">
        <v>5</v>
      </c>
      <c r="F369" s="144">
        <v>6.15</v>
      </c>
      <c r="G369" s="120">
        <f t="shared" si="17"/>
        <v>30.75</v>
      </c>
      <c r="H369" s="48">
        <f t="shared" si="18"/>
        <v>4.4178172743928887E-6</v>
      </c>
      <c r="N369" s="41"/>
    </row>
    <row r="370" spans="1:14" s="40" customFormat="1" ht="36" customHeight="1" x14ac:dyDescent="0.25">
      <c r="A370" s="50" t="s">
        <v>812</v>
      </c>
      <c r="B370" s="139">
        <v>95736</v>
      </c>
      <c r="C370" s="143" t="s">
        <v>813</v>
      </c>
      <c r="D370" s="135" t="s">
        <v>404</v>
      </c>
      <c r="E370" s="136">
        <v>10</v>
      </c>
      <c r="F370" s="144">
        <v>6.33</v>
      </c>
      <c r="G370" s="120">
        <f t="shared" si="17"/>
        <v>63.3</v>
      </c>
      <c r="H370" s="48">
        <f t="shared" si="18"/>
        <v>9.094238486799019E-6</v>
      </c>
      <c r="N370" s="41"/>
    </row>
    <row r="371" spans="1:14" s="40" customFormat="1" ht="36" customHeight="1" x14ac:dyDescent="0.25">
      <c r="A371" s="50" t="s">
        <v>814</v>
      </c>
      <c r="B371" s="139">
        <v>95738</v>
      </c>
      <c r="C371" s="143" t="s">
        <v>815</v>
      </c>
      <c r="D371" s="135" t="s">
        <v>404</v>
      </c>
      <c r="E371" s="136">
        <v>5</v>
      </c>
      <c r="F371" s="144">
        <v>7.52</v>
      </c>
      <c r="G371" s="120">
        <f t="shared" si="17"/>
        <v>37.599999999999994</v>
      </c>
      <c r="H371" s="48">
        <f t="shared" si="18"/>
        <v>5.401948927387726E-6</v>
      </c>
      <c r="N371" s="41"/>
    </row>
    <row r="372" spans="1:14" s="40" customFormat="1" ht="36" customHeight="1" x14ac:dyDescent="0.25">
      <c r="A372" s="50" t="s">
        <v>816</v>
      </c>
      <c r="B372" s="139">
        <v>93018</v>
      </c>
      <c r="C372" s="143" t="s">
        <v>817</v>
      </c>
      <c r="D372" s="135" t="s">
        <v>404</v>
      </c>
      <c r="E372" s="136">
        <v>20</v>
      </c>
      <c r="F372" s="144">
        <v>17.829999999999998</v>
      </c>
      <c r="G372" s="120">
        <f t="shared" si="17"/>
        <v>356.59999999999997</v>
      </c>
      <c r="H372" s="48">
        <f t="shared" si="18"/>
        <v>5.1232313497512319E-5</v>
      </c>
      <c r="N372" s="41"/>
    </row>
    <row r="373" spans="1:14" s="40" customFormat="1" ht="36" customHeight="1" x14ac:dyDescent="0.25">
      <c r="A373" s="50" t="s">
        <v>818</v>
      </c>
      <c r="B373" s="139">
        <v>91917</v>
      </c>
      <c r="C373" s="143" t="s">
        <v>819</v>
      </c>
      <c r="D373" s="135" t="s">
        <v>404</v>
      </c>
      <c r="E373" s="136">
        <v>20</v>
      </c>
      <c r="F373" s="144">
        <v>34.270000000000003</v>
      </c>
      <c r="G373" s="120">
        <f t="shared" si="17"/>
        <v>685.40000000000009</v>
      </c>
      <c r="H373" s="48">
        <f t="shared" si="18"/>
        <v>9.8470632841264592E-5</v>
      </c>
      <c r="N373" s="41"/>
    </row>
    <row r="374" spans="1:14" s="40" customFormat="1" ht="36" customHeight="1" x14ac:dyDescent="0.25">
      <c r="A374" s="50" t="s">
        <v>820</v>
      </c>
      <c r="B374" s="139">
        <v>91914</v>
      </c>
      <c r="C374" s="143" t="s">
        <v>821</v>
      </c>
      <c r="D374" s="135" t="s">
        <v>404</v>
      </c>
      <c r="E374" s="136">
        <v>200</v>
      </c>
      <c r="F374" s="144">
        <v>14.15</v>
      </c>
      <c r="G374" s="120">
        <f t="shared" si="17"/>
        <v>2830</v>
      </c>
      <c r="H374" s="48">
        <f t="shared" si="18"/>
        <v>4.0658285809859755E-4</v>
      </c>
      <c r="N374" s="41"/>
    </row>
    <row r="375" spans="1:14" s="40" customFormat="1" ht="36" customHeight="1" x14ac:dyDescent="0.25">
      <c r="A375" s="50" t="s">
        <v>822</v>
      </c>
      <c r="B375" s="139" t="s">
        <v>823</v>
      </c>
      <c r="C375" s="143" t="s">
        <v>824</v>
      </c>
      <c r="D375" s="135" t="s">
        <v>404</v>
      </c>
      <c r="E375" s="136">
        <v>15</v>
      </c>
      <c r="F375" s="144">
        <v>23.49</v>
      </c>
      <c r="G375" s="120">
        <f t="shared" si="17"/>
        <v>352.34999999999997</v>
      </c>
      <c r="H375" s="48">
        <f t="shared" si="18"/>
        <v>5.0621720866092163E-5</v>
      </c>
      <c r="N375" s="41"/>
    </row>
    <row r="376" spans="1:14" s="40" customFormat="1" ht="36" customHeight="1" x14ac:dyDescent="0.25">
      <c r="A376" s="50" t="s">
        <v>825</v>
      </c>
      <c r="B376" s="139" t="s">
        <v>826</v>
      </c>
      <c r="C376" s="143" t="s">
        <v>827</v>
      </c>
      <c r="D376" s="135" t="s">
        <v>404</v>
      </c>
      <c r="E376" s="136">
        <v>10</v>
      </c>
      <c r="F376" s="144">
        <v>27.59</v>
      </c>
      <c r="G376" s="120">
        <f t="shared" si="17"/>
        <v>275.89999999999998</v>
      </c>
      <c r="H376" s="48">
        <f t="shared" si="18"/>
        <v>3.9638236943251961E-5</v>
      </c>
      <c r="N376" s="41"/>
    </row>
    <row r="377" spans="1:14" s="40" customFormat="1" ht="36" customHeight="1" x14ac:dyDescent="0.25">
      <c r="A377" s="50" t="s">
        <v>828</v>
      </c>
      <c r="B377" s="139" t="s">
        <v>829</v>
      </c>
      <c r="C377" s="143" t="s">
        <v>830</v>
      </c>
      <c r="D377" s="135" t="s">
        <v>404</v>
      </c>
      <c r="E377" s="136">
        <v>10</v>
      </c>
      <c r="F377" s="144">
        <v>28.98</v>
      </c>
      <c r="G377" s="120">
        <f t="shared" si="17"/>
        <v>289.8</v>
      </c>
      <c r="H377" s="48">
        <f t="shared" si="18"/>
        <v>4.1635234020132005E-5</v>
      </c>
      <c r="N377" s="41"/>
    </row>
    <row r="378" spans="1:14" s="40" customFormat="1" ht="36" customHeight="1" x14ac:dyDescent="0.25">
      <c r="A378" s="50" t="s">
        <v>831</v>
      </c>
      <c r="B378" s="139" t="s">
        <v>832</v>
      </c>
      <c r="C378" s="143" t="s">
        <v>833</v>
      </c>
      <c r="D378" s="135" t="s">
        <v>404</v>
      </c>
      <c r="E378" s="136">
        <v>200</v>
      </c>
      <c r="F378" s="144">
        <v>7.89</v>
      </c>
      <c r="G378" s="120">
        <f t="shared" ref="G378:G421" si="19">F378*E378</f>
        <v>1578</v>
      </c>
      <c r="H378" s="48">
        <f t="shared" si="18"/>
        <v>2.2670945232494235E-4</v>
      </c>
      <c r="N378" s="41"/>
    </row>
    <row r="379" spans="1:14" s="40" customFormat="1" ht="36" customHeight="1" x14ac:dyDescent="0.25">
      <c r="A379" s="50" t="s">
        <v>834</v>
      </c>
      <c r="B379" s="139" t="s">
        <v>835</v>
      </c>
      <c r="C379" s="143" t="s">
        <v>836</v>
      </c>
      <c r="D379" s="135" t="s">
        <v>404</v>
      </c>
      <c r="E379" s="136">
        <v>20</v>
      </c>
      <c r="F379" s="144">
        <v>7.98</v>
      </c>
      <c r="G379" s="120">
        <f t="shared" si="19"/>
        <v>159.60000000000002</v>
      </c>
      <c r="H379" s="48">
        <f t="shared" si="18"/>
        <v>2.2929549170507484E-5</v>
      </c>
      <c r="N379" s="41"/>
    </row>
    <row r="380" spans="1:14" s="40" customFormat="1" ht="36" customHeight="1" x14ac:dyDescent="0.25">
      <c r="A380" s="50" t="s">
        <v>837</v>
      </c>
      <c r="B380" s="139" t="s">
        <v>838</v>
      </c>
      <c r="C380" s="143" t="s">
        <v>839</v>
      </c>
      <c r="D380" s="135" t="s">
        <v>404</v>
      </c>
      <c r="E380" s="136">
        <v>20</v>
      </c>
      <c r="F380" s="144">
        <v>8.39</v>
      </c>
      <c r="G380" s="120">
        <f t="shared" si="19"/>
        <v>167.8</v>
      </c>
      <c r="H380" s="48">
        <f t="shared" si="18"/>
        <v>2.410763377701225E-5</v>
      </c>
      <c r="N380" s="41"/>
    </row>
    <row r="381" spans="1:14" s="40" customFormat="1" ht="36" customHeight="1" x14ac:dyDescent="0.25">
      <c r="A381" s="50" t="s">
        <v>840</v>
      </c>
      <c r="B381" s="139">
        <v>97592</v>
      </c>
      <c r="C381" s="143" t="s">
        <v>841</v>
      </c>
      <c r="D381" s="135" t="s">
        <v>404</v>
      </c>
      <c r="E381" s="136">
        <v>60</v>
      </c>
      <c r="F381" s="144">
        <v>36.24</v>
      </c>
      <c r="G381" s="120">
        <f t="shared" si="19"/>
        <v>2174.4</v>
      </c>
      <c r="H381" s="48">
        <f t="shared" si="18"/>
        <v>3.1239355711999662E-4</v>
      </c>
      <c r="N381" s="41"/>
    </row>
    <row r="382" spans="1:14" s="40" customFormat="1" ht="36" customHeight="1" x14ac:dyDescent="0.25">
      <c r="A382" s="50" t="s">
        <v>842</v>
      </c>
      <c r="B382" s="139" t="s">
        <v>843</v>
      </c>
      <c r="C382" s="143" t="s">
        <v>844</v>
      </c>
      <c r="D382" s="135" t="s">
        <v>404</v>
      </c>
      <c r="E382" s="136">
        <v>30</v>
      </c>
      <c r="F382" s="144">
        <v>227.93</v>
      </c>
      <c r="G382" s="120">
        <f t="shared" si="19"/>
        <v>6837.9000000000005</v>
      </c>
      <c r="H382" s="48">
        <f t="shared" si="18"/>
        <v>9.8239325985597183E-4</v>
      </c>
      <c r="N382" s="41"/>
    </row>
    <row r="383" spans="1:14" s="40" customFormat="1" ht="36" customHeight="1" x14ac:dyDescent="0.25">
      <c r="A383" s="50" t="s">
        <v>845</v>
      </c>
      <c r="B383" s="139">
        <v>93653</v>
      </c>
      <c r="C383" s="143" t="s">
        <v>846</v>
      </c>
      <c r="D383" s="135" t="s">
        <v>404</v>
      </c>
      <c r="E383" s="136">
        <v>50</v>
      </c>
      <c r="F383" s="144">
        <v>9.5399999999999991</v>
      </c>
      <c r="G383" s="120">
        <f t="shared" si="19"/>
        <v>476.99999999999994</v>
      </c>
      <c r="H383" s="48">
        <f t="shared" si="18"/>
        <v>6.853004357350919E-5</v>
      </c>
      <c r="N383" s="41"/>
    </row>
    <row r="384" spans="1:14" s="40" customFormat="1" ht="36" customHeight="1" x14ac:dyDescent="0.25">
      <c r="A384" s="50" t="s">
        <v>847</v>
      </c>
      <c r="B384" s="139">
        <v>93654</v>
      </c>
      <c r="C384" s="143" t="s">
        <v>848</v>
      </c>
      <c r="D384" s="135" t="s">
        <v>404</v>
      </c>
      <c r="E384" s="136">
        <v>50</v>
      </c>
      <c r="F384" s="144">
        <v>10.1</v>
      </c>
      <c r="G384" s="120">
        <f t="shared" si="19"/>
        <v>505</v>
      </c>
      <c r="H384" s="48">
        <f t="shared" si="18"/>
        <v>7.2552771498159634E-5</v>
      </c>
      <c r="N384" s="41"/>
    </row>
    <row r="385" spans="1:14" s="40" customFormat="1" ht="36" customHeight="1" x14ac:dyDescent="0.25">
      <c r="A385" s="50" t="s">
        <v>849</v>
      </c>
      <c r="B385" s="139">
        <v>93655</v>
      </c>
      <c r="C385" s="143" t="s">
        <v>850</v>
      </c>
      <c r="D385" s="135" t="s">
        <v>404</v>
      </c>
      <c r="E385" s="136">
        <v>30</v>
      </c>
      <c r="F385" s="144">
        <v>11.03</v>
      </c>
      <c r="G385" s="120">
        <f t="shared" si="19"/>
        <v>330.9</v>
      </c>
      <c r="H385" s="48">
        <f t="shared" si="18"/>
        <v>4.7540023938101029E-5</v>
      </c>
      <c r="N385" s="41"/>
    </row>
    <row r="386" spans="1:14" s="40" customFormat="1" ht="36" customHeight="1" x14ac:dyDescent="0.25">
      <c r="A386" s="50" t="s">
        <v>851</v>
      </c>
      <c r="B386" s="139">
        <v>93656</v>
      </c>
      <c r="C386" s="143" t="s">
        <v>852</v>
      </c>
      <c r="D386" s="135" t="s">
        <v>404</v>
      </c>
      <c r="E386" s="136">
        <v>20</v>
      </c>
      <c r="F386" s="144">
        <v>11.03</v>
      </c>
      <c r="G386" s="120">
        <f t="shared" si="19"/>
        <v>220.6</v>
      </c>
      <c r="H386" s="48">
        <f t="shared" si="18"/>
        <v>3.1693349292067353E-5</v>
      </c>
      <c r="N386" s="41"/>
    </row>
    <row r="387" spans="1:14" s="40" customFormat="1" ht="36" customHeight="1" x14ac:dyDescent="0.25">
      <c r="A387" s="50" t="s">
        <v>853</v>
      </c>
      <c r="B387" s="79">
        <v>93657</v>
      </c>
      <c r="C387" s="80" t="s">
        <v>854</v>
      </c>
      <c r="D387" s="69" t="s">
        <v>404</v>
      </c>
      <c r="E387" s="55">
        <v>10</v>
      </c>
      <c r="F387" s="96">
        <v>12.22</v>
      </c>
      <c r="G387" s="120">
        <f t="shared" si="19"/>
        <v>122.2</v>
      </c>
      <c r="H387" s="48">
        <f t="shared" si="18"/>
        <v>1.7556334014010114E-5</v>
      </c>
      <c r="N387" s="41"/>
    </row>
    <row r="388" spans="1:14" s="40" customFormat="1" ht="36" customHeight="1" x14ac:dyDescent="0.25">
      <c r="A388" s="50" t="s">
        <v>855</v>
      </c>
      <c r="B388" s="79">
        <v>93658</v>
      </c>
      <c r="C388" s="80" t="s">
        <v>856</v>
      </c>
      <c r="D388" s="69" t="s">
        <v>404</v>
      </c>
      <c r="E388" s="55">
        <v>5</v>
      </c>
      <c r="F388" s="96">
        <v>17.850000000000001</v>
      </c>
      <c r="G388" s="120">
        <f t="shared" si="19"/>
        <v>89.25</v>
      </c>
      <c r="H388" s="48">
        <f t="shared" si="18"/>
        <v>1.2822445259823261E-5</v>
      </c>
      <c r="N388" s="41"/>
    </row>
    <row r="389" spans="1:14" s="40" customFormat="1" ht="36" customHeight="1" x14ac:dyDescent="0.25">
      <c r="A389" s="50" t="s">
        <v>857</v>
      </c>
      <c r="B389" s="79">
        <v>93659</v>
      </c>
      <c r="C389" s="80" t="s">
        <v>858</v>
      </c>
      <c r="D389" s="69" t="s">
        <v>404</v>
      </c>
      <c r="E389" s="55">
        <v>5</v>
      </c>
      <c r="F389" s="96">
        <v>20.329999999999998</v>
      </c>
      <c r="G389" s="120">
        <f t="shared" si="19"/>
        <v>101.64999999999999</v>
      </c>
      <c r="H389" s="48">
        <f t="shared" ref="H389:H452" si="20">G389/$G$602</f>
        <v>1.4603939055025596E-5</v>
      </c>
      <c r="N389" s="41"/>
    </row>
    <row r="390" spans="1:14" s="40" customFormat="1" ht="36" customHeight="1" x14ac:dyDescent="0.25">
      <c r="A390" s="50" t="s">
        <v>859</v>
      </c>
      <c r="B390" s="79">
        <v>93660</v>
      </c>
      <c r="C390" s="80" t="s">
        <v>860</v>
      </c>
      <c r="D390" s="69" t="s">
        <v>404</v>
      </c>
      <c r="E390" s="55">
        <v>20</v>
      </c>
      <c r="F390" s="96">
        <v>47.34</v>
      </c>
      <c r="G390" s="120">
        <f t="shared" si="19"/>
        <v>946.80000000000007</v>
      </c>
      <c r="H390" s="48">
        <f t="shared" si="20"/>
        <v>1.3602567139496543E-4</v>
      </c>
      <c r="N390" s="41"/>
    </row>
    <row r="391" spans="1:14" s="40" customFormat="1" ht="36" customHeight="1" x14ac:dyDescent="0.25">
      <c r="A391" s="50" t="s">
        <v>861</v>
      </c>
      <c r="B391" s="79">
        <v>93662</v>
      </c>
      <c r="C391" s="80" t="s">
        <v>862</v>
      </c>
      <c r="D391" s="69" t="s">
        <v>404</v>
      </c>
      <c r="E391" s="55">
        <v>40</v>
      </c>
      <c r="F391" s="96">
        <v>50.36</v>
      </c>
      <c r="G391" s="120">
        <f t="shared" si="19"/>
        <v>2014.4</v>
      </c>
      <c r="H391" s="48">
        <f t="shared" si="20"/>
        <v>2.8940654040770846E-4</v>
      </c>
      <c r="N391" s="41"/>
    </row>
    <row r="392" spans="1:14" s="40" customFormat="1" ht="36" customHeight="1" x14ac:dyDescent="0.25">
      <c r="A392" s="50" t="s">
        <v>863</v>
      </c>
      <c r="B392" s="79">
        <v>93663</v>
      </c>
      <c r="C392" s="80" t="s">
        <v>864</v>
      </c>
      <c r="D392" s="69" t="s">
        <v>404</v>
      </c>
      <c r="E392" s="55">
        <v>10</v>
      </c>
      <c r="F392" s="96">
        <v>50.36</v>
      </c>
      <c r="G392" s="120">
        <f t="shared" si="19"/>
        <v>503.6</v>
      </c>
      <c r="H392" s="48">
        <f t="shared" si="20"/>
        <v>7.2351635101927116E-5</v>
      </c>
      <c r="N392" s="41"/>
    </row>
    <row r="393" spans="1:14" s="40" customFormat="1" ht="36" customHeight="1" x14ac:dyDescent="0.25">
      <c r="A393" s="50" t="s">
        <v>865</v>
      </c>
      <c r="B393" s="79">
        <v>93664</v>
      </c>
      <c r="C393" s="80" t="s">
        <v>866</v>
      </c>
      <c r="D393" s="69" t="s">
        <v>404</v>
      </c>
      <c r="E393" s="55">
        <v>10</v>
      </c>
      <c r="F393" s="96">
        <v>52.71</v>
      </c>
      <c r="G393" s="120">
        <f t="shared" si="19"/>
        <v>527.1</v>
      </c>
      <c r="H393" s="48">
        <f t="shared" si="20"/>
        <v>7.5727853181544445E-5</v>
      </c>
      <c r="N393" s="41"/>
    </row>
    <row r="394" spans="1:14" s="40" customFormat="1" ht="36" customHeight="1" x14ac:dyDescent="0.25">
      <c r="A394" s="50" t="s">
        <v>867</v>
      </c>
      <c r="B394" s="79">
        <v>93665</v>
      </c>
      <c r="C394" s="80" t="s">
        <v>868</v>
      </c>
      <c r="D394" s="69" t="s">
        <v>404</v>
      </c>
      <c r="E394" s="55">
        <v>5</v>
      </c>
      <c r="F394" s="96">
        <v>55.97</v>
      </c>
      <c r="G394" s="120">
        <f t="shared" si="19"/>
        <v>279.85000000000002</v>
      </c>
      <c r="H394" s="48">
        <f t="shared" si="20"/>
        <v>4.0205728918336584E-5</v>
      </c>
      <c r="N394" s="41"/>
    </row>
    <row r="395" spans="1:14" s="40" customFormat="1" ht="36" customHeight="1" x14ac:dyDescent="0.25">
      <c r="A395" s="50" t="s">
        <v>869</v>
      </c>
      <c r="B395" s="79">
        <v>93666</v>
      </c>
      <c r="C395" s="80" t="s">
        <v>870</v>
      </c>
      <c r="D395" s="69" t="s">
        <v>404</v>
      </c>
      <c r="E395" s="55">
        <v>5</v>
      </c>
      <c r="F395" s="96">
        <v>60.93</v>
      </c>
      <c r="G395" s="120">
        <f t="shared" si="19"/>
        <v>304.64999999999998</v>
      </c>
      <c r="H395" s="48">
        <f t="shared" si="20"/>
        <v>4.3768716508741246E-5</v>
      </c>
      <c r="N395" s="41"/>
    </row>
    <row r="396" spans="1:14" s="40" customFormat="1" ht="36" customHeight="1" x14ac:dyDescent="0.25">
      <c r="A396" s="50" t="s">
        <v>871</v>
      </c>
      <c r="B396" s="79">
        <v>93667</v>
      </c>
      <c r="C396" s="80" t="s">
        <v>872</v>
      </c>
      <c r="D396" s="69" t="s">
        <v>404</v>
      </c>
      <c r="E396" s="55">
        <v>5</v>
      </c>
      <c r="F396" s="96">
        <v>59.1</v>
      </c>
      <c r="G396" s="120">
        <f t="shared" si="19"/>
        <v>295.5</v>
      </c>
      <c r="H396" s="48">
        <f t="shared" si="20"/>
        <v>4.2454146490507269E-5</v>
      </c>
      <c r="N396" s="41"/>
    </row>
    <row r="397" spans="1:14" s="40" customFormat="1" ht="36" customHeight="1" x14ac:dyDescent="0.25">
      <c r="A397" s="50" t="s">
        <v>873</v>
      </c>
      <c r="B397" s="79">
        <v>93668</v>
      </c>
      <c r="C397" s="80" t="s">
        <v>874</v>
      </c>
      <c r="D397" s="69" t="s">
        <v>404</v>
      </c>
      <c r="E397" s="55">
        <v>5</v>
      </c>
      <c r="F397" s="96">
        <v>60.74</v>
      </c>
      <c r="G397" s="120">
        <f t="shared" si="19"/>
        <v>303.7</v>
      </c>
      <c r="H397" s="48">
        <f t="shared" si="20"/>
        <v>4.3632231097012036E-5</v>
      </c>
      <c r="N397" s="41"/>
    </row>
    <row r="398" spans="1:14" s="40" customFormat="1" ht="36" customHeight="1" x14ac:dyDescent="0.25">
      <c r="A398" s="50" t="s">
        <v>875</v>
      </c>
      <c r="B398" s="79">
        <v>93669</v>
      </c>
      <c r="C398" s="80" t="s">
        <v>876</v>
      </c>
      <c r="D398" s="69" t="s">
        <v>404</v>
      </c>
      <c r="E398" s="55">
        <v>5</v>
      </c>
      <c r="F398" s="96">
        <v>63.6</v>
      </c>
      <c r="G398" s="120">
        <f t="shared" si="19"/>
        <v>318</v>
      </c>
      <c r="H398" s="48">
        <f t="shared" si="20"/>
        <v>4.5686695715672798E-5</v>
      </c>
      <c r="N398" s="41"/>
    </row>
    <row r="399" spans="1:14" s="40" customFormat="1" ht="36" customHeight="1" x14ac:dyDescent="0.25">
      <c r="A399" s="50" t="s">
        <v>877</v>
      </c>
      <c r="B399" s="79">
        <v>93670</v>
      </c>
      <c r="C399" s="80" t="s">
        <v>878</v>
      </c>
      <c r="D399" s="69" t="s">
        <v>404</v>
      </c>
      <c r="E399" s="55">
        <v>5</v>
      </c>
      <c r="F399" s="96">
        <v>63.6</v>
      </c>
      <c r="G399" s="120">
        <f t="shared" si="19"/>
        <v>318</v>
      </c>
      <c r="H399" s="48">
        <f t="shared" si="20"/>
        <v>4.5686695715672798E-5</v>
      </c>
      <c r="N399" s="41"/>
    </row>
    <row r="400" spans="1:14" s="40" customFormat="1" ht="36" customHeight="1" x14ac:dyDescent="0.25">
      <c r="A400" s="50" t="s">
        <v>879</v>
      </c>
      <c r="B400" s="79">
        <v>93671</v>
      </c>
      <c r="C400" s="80" t="s">
        <v>880</v>
      </c>
      <c r="D400" s="69" t="s">
        <v>404</v>
      </c>
      <c r="E400" s="55">
        <v>5</v>
      </c>
      <c r="F400" s="96">
        <v>67.16</v>
      </c>
      <c r="G400" s="120">
        <f t="shared" si="19"/>
        <v>335.79999999999995</v>
      </c>
      <c r="H400" s="48">
        <f t="shared" si="20"/>
        <v>4.8244001324914849E-5</v>
      </c>
      <c r="N400" s="41"/>
    </row>
    <row r="401" spans="1:14" s="40" customFormat="1" ht="36" customHeight="1" x14ac:dyDescent="0.25">
      <c r="A401" s="50" t="s">
        <v>881</v>
      </c>
      <c r="B401" s="79">
        <v>93672</v>
      </c>
      <c r="C401" s="80" t="s">
        <v>882</v>
      </c>
      <c r="D401" s="69" t="s">
        <v>404</v>
      </c>
      <c r="E401" s="55">
        <v>10</v>
      </c>
      <c r="F401" s="96">
        <v>73.069999999999993</v>
      </c>
      <c r="G401" s="120">
        <f t="shared" si="19"/>
        <v>730.69999999999993</v>
      </c>
      <c r="H401" s="48">
        <f t="shared" si="20"/>
        <v>1.0497883194793116E-4</v>
      </c>
      <c r="N401" s="41"/>
    </row>
    <row r="402" spans="1:14" s="40" customFormat="1" ht="36" customHeight="1" x14ac:dyDescent="0.25">
      <c r="A402" s="50" t="s">
        <v>883</v>
      </c>
      <c r="B402" s="79">
        <v>93673</v>
      </c>
      <c r="C402" s="80" t="s">
        <v>884</v>
      </c>
      <c r="D402" s="69" t="s">
        <v>404</v>
      </c>
      <c r="E402" s="55">
        <v>10</v>
      </c>
      <c r="F402" s="96">
        <v>80.510000000000005</v>
      </c>
      <c r="G402" s="120">
        <f t="shared" si="19"/>
        <v>805.1</v>
      </c>
      <c r="H402" s="48">
        <f t="shared" si="20"/>
        <v>1.1566779471914519E-4</v>
      </c>
      <c r="N402" s="41"/>
    </row>
    <row r="403" spans="1:14" s="40" customFormat="1" ht="36" customHeight="1" x14ac:dyDescent="0.25">
      <c r="A403" s="50" t="s">
        <v>885</v>
      </c>
      <c r="B403" s="79" t="s">
        <v>886</v>
      </c>
      <c r="C403" s="80" t="s">
        <v>887</v>
      </c>
      <c r="D403" s="69" t="s">
        <v>404</v>
      </c>
      <c r="E403" s="55">
        <v>2</v>
      </c>
      <c r="F403" s="96">
        <v>3841.55</v>
      </c>
      <c r="G403" s="120">
        <f t="shared" si="19"/>
        <v>7683.1</v>
      </c>
      <c r="H403" s="48">
        <f t="shared" si="20"/>
        <v>1.1038221756386342E-3</v>
      </c>
      <c r="N403" s="41"/>
    </row>
    <row r="404" spans="1:14" s="40" customFormat="1" ht="36" customHeight="1" x14ac:dyDescent="0.25">
      <c r="A404" s="50" t="s">
        <v>888</v>
      </c>
      <c r="B404" s="79" t="s">
        <v>889</v>
      </c>
      <c r="C404" s="80" t="s">
        <v>890</v>
      </c>
      <c r="D404" s="69" t="s">
        <v>404</v>
      </c>
      <c r="E404" s="55">
        <v>2</v>
      </c>
      <c r="F404" s="96">
        <v>5659.62</v>
      </c>
      <c r="G404" s="120">
        <f t="shared" si="19"/>
        <v>11319.24</v>
      </c>
      <c r="H404" s="48">
        <f t="shared" si="20"/>
        <v>1.6262222440650068E-3</v>
      </c>
      <c r="N404" s="41"/>
    </row>
    <row r="405" spans="1:14" s="40" customFormat="1" ht="36" customHeight="1" x14ac:dyDescent="0.25">
      <c r="A405" s="50" t="s">
        <v>891</v>
      </c>
      <c r="B405" s="79" t="s">
        <v>892</v>
      </c>
      <c r="C405" s="80" t="s">
        <v>893</v>
      </c>
      <c r="D405" s="69" t="s">
        <v>404</v>
      </c>
      <c r="E405" s="55">
        <v>2</v>
      </c>
      <c r="F405" s="96">
        <v>6543.75</v>
      </c>
      <c r="G405" s="120">
        <f t="shared" si="19"/>
        <v>13087.5</v>
      </c>
      <c r="H405" s="48">
        <f t="shared" si="20"/>
        <v>1.8802661326379488E-3</v>
      </c>
      <c r="N405" s="41"/>
    </row>
    <row r="406" spans="1:14" s="40" customFormat="1" ht="36" customHeight="1" x14ac:dyDescent="0.25">
      <c r="A406" s="50" t="s">
        <v>894</v>
      </c>
      <c r="B406" s="79" t="s">
        <v>895</v>
      </c>
      <c r="C406" s="145" t="s">
        <v>896</v>
      </c>
      <c r="D406" s="69" t="s">
        <v>404</v>
      </c>
      <c r="E406" s="55">
        <f>12+30</f>
        <v>42</v>
      </c>
      <c r="F406" s="96">
        <v>61.83</v>
      </c>
      <c r="G406" s="120">
        <f t="shared" si="19"/>
        <v>2596.86</v>
      </c>
      <c r="H406" s="48">
        <f t="shared" si="20"/>
        <v>3.7308790137170463E-4</v>
      </c>
      <c r="N406" s="41"/>
    </row>
    <row r="407" spans="1:14" s="40" customFormat="1" ht="36" customHeight="1" x14ac:dyDescent="0.25">
      <c r="A407" s="50" t="s">
        <v>897</v>
      </c>
      <c r="B407" s="79" t="s">
        <v>898</v>
      </c>
      <c r="C407" s="80" t="s">
        <v>899</v>
      </c>
      <c r="D407" s="69" t="s">
        <v>404</v>
      </c>
      <c r="E407" s="55">
        <v>15</v>
      </c>
      <c r="F407" s="96">
        <v>133.84</v>
      </c>
      <c r="G407" s="120">
        <f t="shared" si="19"/>
        <v>2007.6000000000001</v>
      </c>
      <c r="H407" s="48">
        <f t="shared" si="20"/>
        <v>2.884295921974362E-4</v>
      </c>
      <c r="N407" s="41"/>
    </row>
    <row r="408" spans="1:14" s="40" customFormat="1" ht="36" customHeight="1" x14ac:dyDescent="0.25">
      <c r="A408" s="50" t="s">
        <v>900</v>
      </c>
      <c r="B408" s="79" t="s">
        <v>901</v>
      </c>
      <c r="C408" s="80" t="s">
        <v>902</v>
      </c>
      <c r="D408" s="69" t="s">
        <v>404</v>
      </c>
      <c r="E408" s="55">
        <v>15</v>
      </c>
      <c r="F408" s="96">
        <v>137.83000000000001</v>
      </c>
      <c r="G408" s="120">
        <f t="shared" si="19"/>
        <v>2067.4500000000003</v>
      </c>
      <c r="H408" s="48">
        <f t="shared" si="20"/>
        <v>2.9702817313637651E-4</v>
      </c>
      <c r="N408" s="41"/>
    </row>
    <row r="409" spans="1:14" s="40" customFormat="1" ht="36" customHeight="1" x14ac:dyDescent="0.25">
      <c r="A409" s="50" t="s">
        <v>903</v>
      </c>
      <c r="B409" s="79" t="s">
        <v>904</v>
      </c>
      <c r="C409" s="80" t="s">
        <v>905</v>
      </c>
      <c r="D409" s="69" t="s">
        <v>404</v>
      </c>
      <c r="E409" s="55">
        <v>15</v>
      </c>
      <c r="F409" s="96">
        <v>132</v>
      </c>
      <c r="G409" s="120">
        <f t="shared" si="19"/>
        <v>1980</v>
      </c>
      <c r="H409" s="48">
        <f t="shared" si="20"/>
        <v>2.8446433181456644E-4</v>
      </c>
      <c r="N409" s="41"/>
    </row>
    <row r="410" spans="1:14" s="40" customFormat="1" ht="36" customHeight="1" x14ac:dyDescent="0.25">
      <c r="A410" s="50" t="s">
        <v>906</v>
      </c>
      <c r="B410" s="79" t="s">
        <v>907</v>
      </c>
      <c r="C410" s="80" t="s">
        <v>908</v>
      </c>
      <c r="D410" s="69" t="s">
        <v>404</v>
      </c>
      <c r="E410" s="55">
        <v>3</v>
      </c>
      <c r="F410" s="96">
        <v>1427.93</v>
      </c>
      <c r="G410" s="120">
        <f t="shared" si="19"/>
        <v>4283.79</v>
      </c>
      <c r="H410" s="48">
        <f t="shared" si="20"/>
        <v>6.1544720201208163E-4</v>
      </c>
      <c r="N410" s="41"/>
    </row>
    <row r="411" spans="1:14" s="40" customFormat="1" ht="36" customHeight="1" x14ac:dyDescent="0.25">
      <c r="A411" s="50" t="s">
        <v>909</v>
      </c>
      <c r="B411" s="79" t="s">
        <v>766</v>
      </c>
      <c r="C411" s="80" t="s">
        <v>910</v>
      </c>
      <c r="D411" s="69" t="s">
        <v>404</v>
      </c>
      <c r="E411" s="55">
        <v>300</v>
      </c>
      <c r="F411" s="96">
        <v>3.67</v>
      </c>
      <c r="G411" s="120">
        <f t="shared" si="19"/>
        <v>1101</v>
      </c>
      <c r="H411" s="48">
        <f t="shared" si="20"/>
        <v>1.5817940875143316E-4</v>
      </c>
      <c r="N411" s="41"/>
    </row>
    <row r="412" spans="1:14" s="40" customFormat="1" ht="36" customHeight="1" x14ac:dyDescent="0.25">
      <c r="A412" s="50" t="s">
        <v>911</v>
      </c>
      <c r="B412" s="79" t="s">
        <v>769</v>
      </c>
      <c r="C412" s="80" t="s">
        <v>912</v>
      </c>
      <c r="D412" s="69" t="s">
        <v>404</v>
      </c>
      <c r="E412" s="55">
        <v>50</v>
      </c>
      <c r="F412" s="96">
        <v>5.38</v>
      </c>
      <c r="G412" s="120">
        <f t="shared" si="19"/>
        <v>269</v>
      </c>
      <c r="H412" s="48">
        <f t="shared" si="20"/>
        <v>3.8646921847534535E-5</v>
      </c>
      <c r="N412" s="41"/>
    </row>
    <row r="413" spans="1:14" s="40" customFormat="1" ht="36" customHeight="1" x14ac:dyDescent="0.25">
      <c r="A413" s="50" t="s">
        <v>913</v>
      </c>
      <c r="B413" s="79" t="s">
        <v>914</v>
      </c>
      <c r="C413" s="80" t="s">
        <v>915</v>
      </c>
      <c r="D413" s="69" t="s">
        <v>916</v>
      </c>
      <c r="E413" s="55">
        <v>30</v>
      </c>
      <c r="F413" s="96">
        <f>214.18-55.55+6*2.71</f>
        <v>174.89</v>
      </c>
      <c r="G413" s="120">
        <f t="shared" si="19"/>
        <v>5246.7</v>
      </c>
      <c r="H413" s="48">
        <f t="shared" si="20"/>
        <v>7.5378737865226559E-4</v>
      </c>
      <c r="N413" s="41"/>
    </row>
    <row r="414" spans="1:14" s="40" customFormat="1" ht="36" customHeight="1" x14ac:dyDescent="0.25">
      <c r="A414" s="50" t="s">
        <v>917</v>
      </c>
      <c r="B414" s="79" t="s">
        <v>918</v>
      </c>
      <c r="C414" s="80" t="s">
        <v>919</v>
      </c>
      <c r="D414" s="69" t="s">
        <v>404</v>
      </c>
      <c r="E414" s="55">
        <v>40</v>
      </c>
      <c r="F414" s="96">
        <v>197.5</v>
      </c>
      <c r="G414" s="120">
        <f t="shared" si="19"/>
        <v>7900</v>
      </c>
      <c r="H414" s="48">
        <f t="shared" si="20"/>
        <v>1.1349839501692298E-3</v>
      </c>
      <c r="N414" s="41"/>
    </row>
    <row r="415" spans="1:14" s="40" customFormat="1" ht="36" customHeight="1" x14ac:dyDescent="0.25">
      <c r="A415" s="50" t="s">
        <v>920</v>
      </c>
      <c r="B415" s="79" t="s">
        <v>921</v>
      </c>
      <c r="C415" s="80" t="s">
        <v>922</v>
      </c>
      <c r="D415" s="69" t="s">
        <v>916</v>
      </c>
      <c r="E415" s="55">
        <v>30</v>
      </c>
      <c r="F415" s="96">
        <f>182.56-6.6-1.46+13.14</f>
        <v>187.64</v>
      </c>
      <c r="G415" s="120">
        <f t="shared" si="19"/>
        <v>5629.2</v>
      </c>
      <c r="H415" s="48">
        <f t="shared" si="20"/>
        <v>8.0874071548007955E-4</v>
      </c>
      <c r="N415" s="41"/>
    </row>
    <row r="416" spans="1:14" s="40" customFormat="1" ht="36" customHeight="1" x14ac:dyDescent="0.25">
      <c r="A416" s="50" t="s">
        <v>923</v>
      </c>
      <c r="B416" s="79" t="s">
        <v>924</v>
      </c>
      <c r="C416" s="80" t="s">
        <v>925</v>
      </c>
      <c r="D416" s="69" t="s">
        <v>404</v>
      </c>
      <c r="E416" s="55">
        <v>30</v>
      </c>
      <c r="F416" s="96">
        <v>182.56</v>
      </c>
      <c r="G416" s="120">
        <f t="shared" si="19"/>
        <v>5476.8</v>
      </c>
      <c r="H416" s="48">
        <f t="shared" si="20"/>
        <v>7.8684558206162513E-4</v>
      </c>
      <c r="N416" s="41"/>
    </row>
    <row r="417" spans="1:14" s="40" customFormat="1" ht="36" customHeight="1" x14ac:dyDescent="0.25">
      <c r="A417" s="50" t="s">
        <v>926</v>
      </c>
      <c r="B417" s="79">
        <v>93137</v>
      </c>
      <c r="C417" s="80" t="s">
        <v>927</v>
      </c>
      <c r="D417" s="69" t="s">
        <v>404</v>
      </c>
      <c r="E417" s="55">
        <v>30</v>
      </c>
      <c r="F417" s="96">
        <v>141.85</v>
      </c>
      <c r="G417" s="120">
        <f t="shared" si="19"/>
        <v>4255.5</v>
      </c>
      <c r="H417" s="48">
        <f t="shared" si="20"/>
        <v>6.1138281011964026E-4</v>
      </c>
      <c r="N417" s="41"/>
    </row>
    <row r="418" spans="1:14" s="40" customFormat="1" ht="36" customHeight="1" x14ac:dyDescent="0.25">
      <c r="A418" s="50" t="s">
        <v>928</v>
      </c>
      <c r="B418" s="79">
        <v>93142</v>
      </c>
      <c r="C418" s="80" t="s">
        <v>929</v>
      </c>
      <c r="D418" s="69" t="s">
        <v>404</v>
      </c>
      <c r="E418" s="55">
        <v>30</v>
      </c>
      <c r="F418" s="96">
        <v>161.13999999999999</v>
      </c>
      <c r="G418" s="120">
        <f t="shared" si="19"/>
        <v>4834.2</v>
      </c>
      <c r="H418" s="48">
        <f t="shared" si="20"/>
        <v>6.945239761908976E-4</v>
      </c>
      <c r="N418" s="41"/>
    </row>
    <row r="419" spans="1:14" s="40" customFormat="1" ht="36" customHeight="1" x14ac:dyDescent="0.25">
      <c r="A419" s="50" t="s">
        <v>930</v>
      </c>
      <c r="B419" s="79" t="s">
        <v>931</v>
      </c>
      <c r="C419" s="80" t="s">
        <v>932</v>
      </c>
      <c r="D419" s="69" t="s">
        <v>404</v>
      </c>
      <c r="E419" s="55">
        <v>100</v>
      </c>
      <c r="F419" s="96">
        <v>45.52</v>
      </c>
      <c r="G419" s="120">
        <f t="shared" si="19"/>
        <v>4552</v>
      </c>
      <c r="H419" s="48">
        <f t="shared" si="20"/>
        <v>6.5398062546459924E-4</v>
      </c>
      <c r="N419" s="41"/>
    </row>
    <row r="420" spans="1:14" s="40" customFormat="1" ht="36" customHeight="1" x14ac:dyDescent="0.25">
      <c r="A420" s="50" t="s">
        <v>933</v>
      </c>
      <c r="B420" s="79">
        <v>97599</v>
      </c>
      <c r="C420" s="80" t="s">
        <v>934</v>
      </c>
      <c r="D420" s="69" t="s">
        <v>404</v>
      </c>
      <c r="E420" s="55">
        <v>50</v>
      </c>
      <c r="F420" s="96">
        <v>26.58</v>
      </c>
      <c r="G420" s="120">
        <f t="shared" si="19"/>
        <v>1329</v>
      </c>
      <c r="H420" s="48">
        <f t="shared" si="20"/>
        <v>1.9093590756644386E-4</v>
      </c>
      <c r="N420" s="41"/>
    </row>
    <row r="421" spans="1:14" s="40" customFormat="1" ht="36" customHeight="1" thickBot="1" x14ac:dyDescent="0.3">
      <c r="A421" s="146" t="s">
        <v>935</v>
      </c>
      <c r="B421" s="121" t="s">
        <v>936</v>
      </c>
      <c r="C421" s="108" t="s">
        <v>937</v>
      </c>
      <c r="D421" s="119" t="s">
        <v>404</v>
      </c>
      <c r="E421" s="85">
        <v>30</v>
      </c>
      <c r="F421" s="106">
        <v>197.56</v>
      </c>
      <c r="G421" s="120">
        <f t="shared" si="19"/>
        <v>5926.8</v>
      </c>
      <c r="H421" s="48">
        <f t="shared" si="20"/>
        <v>8.5149656656493568E-4</v>
      </c>
      <c r="N421" s="41"/>
    </row>
    <row r="422" spans="1:14" s="40" customFormat="1" ht="18.75" thickBot="1" x14ac:dyDescent="0.3">
      <c r="A422" s="42">
        <v>14</v>
      </c>
      <c r="B422" s="90"/>
      <c r="C422" s="71" t="s">
        <v>938</v>
      </c>
      <c r="D422" s="91"/>
      <c r="E422" s="92"/>
      <c r="F422" s="93"/>
      <c r="G422" s="72">
        <f>SUM(G423:G427)</f>
        <v>64050.31</v>
      </c>
      <c r="H422" s="48">
        <f t="shared" si="20"/>
        <v>9.202034664982749E-3</v>
      </c>
      <c r="N422" s="41"/>
    </row>
    <row r="423" spans="1:14" s="40" customFormat="1" ht="36" x14ac:dyDescent="0.25">
      <c r="A423" s="94" t="s">
        <v>939</v>
      </c>
      <c r="B423" s="79" t="s">
        <v>940</v>
      </c>
      <c r="C423" s="80" t="s">
        <v>941</v>
      </c>
      <c r="D423" s="69" t="s">
        <v>52</v>
      </c>
      <c r="E423" s="85">
        <v>10</v>
      </c>
      <c r="F423" s="96">
        <v>29.96</v>
      </c>
      <c r="G423" s="120">
        <f>F423*E423</f>
        <v>299.60000000000002</v>
      </c>
      <c r="H423" s="48">
        <f t="shared" si="20"/>
        <v>4.3043188793759659E-5</v>
      </c>
      <c r="N423" s="41"/>
    </row>
    <row r="424" spans="1:14" s="40" customFormat="1" ht="54" customHeight="1" x14ac:dyDescent="0.25">
      <c r="A424" s="94" t="s">
        <v>942</v>
      </c>
      <c r="B424" s="79" t="s">
        <v>943</v>
      </c>
      <c r="C424" s="108" t="str">
        <f>UPPER("Comando de Iluminação - Quadro / Painel em chapa de aço com pintura eletrostática a pó poliester na cor bege, grau de proteção IP 54, com disjuntores, barramentos e acessórios de montagem - 600x500x200mm")</f>
        <v>COMANDO DE ILUMINAÇÃO - QUADRO / PAINEL EM CHAPA DE AÇO COM PINTURA ELETROSTÁTICA A PÓ POLIESTER NA COR BEGE, GRAU DE PROTEÇÃO IP 54, COM DISJUNTORES, BARRAMENTOS E ACESSÓRIOS DE MONTAGEM - 600X500X200MM</v>
      </c>
      <c r="D424" s="69" t="s">
        <v>52</v>
      </c>
      <c r="E424" s="85">
        <v>10</v>
      </c>
      <c r="F424" s="106">
        <v>1116.56</v>
      </c>
      <c r="G424" s="120">
        <f>F424*E424</f>
        <v>11165.599999999999</v>
      </c>
      <c r="H424" s="48">
        <f t="shared" si="20"/>
        <v>1.6041489612670318E-3</v>
      </c>
      <c r="N424" s="41"/>
    </row>
    <row r="425" spans="1:14" s="40" customFormat="1" ht="72" x14ac:dyDescent="0.25">
      <c r="A425" s="94" t="s">
        <v>944</v>
      </c>
      <c r="B425" s="79" t="s">
        <v>945</v>
      </c>
      <c r="C425" s="108" t="str">
        <f>UPPER("Quadro / Painel em chapa de aço com pintura eletrostática a pó poliester na cor BEGE, grau de proteção IP 54, com disjuntores, barramentos e acessórios de montagem - 800x500x200mm")</f>
        <v>QUADRO / PAINEL EM CHAPA DE AÇO COM PINTURA ELETROSTÁTICA A PÓ POLIESTER NA COR BEGE, GRAU DE PROTEÇÃO IP 54, COM DISJUNTORES, BARRAMENTOS E ACESSÓRIOS DE MONTAGEM - 800X500X200MM</v>
      </c>
      <c r="D425" s="69" t="s">
        <v>52</v>
      </c>
      <c r="E425" s="85">
        <v>5</v>
      </c>
      <c r="F425" s="106">
        <v>2065.08</v>
      </c>
      <c r="G425" s="120">
        <f>F425*E425</f>
        <v>10325.4</v>
      </c>
      <c r="H425" s="48">
        <f t="shared" si="20"/>
        <v>1.4834383897566286E-3</v>
      </c>
      <c r="N425" s="41"/>
    </row>
    <row r="426" spans="1:14" s="40" customFormat="1" ht="72" x14ac:dyDescent="0.25">
      <c r="A426" s="94" t="s">
        <v>946</v>
      </c>
      <c r="B426" s="79" t="s">
        <v>947</v>
      </c>
      <c r="C426" s="80" t="str">
        <f>UPPER("Quadro / Painel em chapa de aço com pintura eletrostática a pó poliester na cor cinza ral, grau de proteção IP 54, com disjuntores, barramentos e acessórios de montagem - 800x600x200mm")</f>
        <v>QUADRO / PAINEL EM CHAPA DE AÇO COM PINTURA ELETROSTÁTICA A PÓ POLIESTER NA COR CINZA RAL, GRAU DE PROTEÇÃO IP 54, COM DISJUNTORES, BARRAMENTOS E ACESSÓRIOS DE MONTAGEM - 800X600X200MM</v>
      </c>
      <c r="D426" s="69" t="s">
        <v>52</v>
      </c>
      <c r="E426" s="55">
        <f>5+2</f>
        <v>7</v>
      </c>
      <c r="F426" s="96">
        <v>3680.03</v>
      </c>
      <c r="G426" s="120">
        <f>F426*E426</f>
        <v>25760.210000000003</v>
      </c>
      <c r="H426" s="48">
        <f t="shared" si="20"/>
        <v>3.7009398611378354E-3</v>
      </c>
      <c r="N426" s="41"/>
    </row>
    <row r="427" spans="1:14" s="40" customFormat="1" ht="72.75" thickBot="1" x14ac:dyDescent="0.3">
      <c r="A427" s="94" t="s">
        <v>948</v>
      </c>
      <c r="B427" s="121" t="s">
        <v>949</v>
      </c>
      <c r="C427" s="108" t="str">
        <f>UPPER("QDL -TE - Quadro / Painel em chapa de aço com pintura eletrostática a pó na cor BEGE, grau de proteção IP 54, com disjuntores, barramentos e acessórios de montagem - 600x500x200mm")</f>
        <v>QDL -TE - QUADRO / PAINEL EM CHAPA DE AÇO COM PINTURA ELETROSTÁTICA A PÓ NA COR BEGE, GRAU DE PROTEÇÃO IP 54, COM DISJUNTORES, BARRAMENTOS E ACESSÓRIOS DE MONTAGEM - 600X500X200MM</v>
      </c>
      <c r="D427" s="119" t="s">
        <v>52</v>
      </c>
      <c r="E427" s="85">
        <v>10</v>
      </c>
      <c r="F427" s="85">
        <v>1649.95</v>
      </c>
      <c r="G427" s="120">
        <f>F427*E427</f>
        <v>16499.5</v>
      </c>
      <c r="H427" s="48">
        <f t="shared" si="20"/>
        <v>2.3704642640274948E-3</v>
      </c>
      <c r="N427" s="41"/>
    </row>
    <row r="428" spans="1:14" s="40" customFormat="1" ht="18.75" thickBot="1" x14ac:dyDescent="0.3">
      <c r="A428" s="42">
        <v>15</v>
      </c>
      <c r="B428" s="90"/>
      <c r="C428" s="71" t="s">
        <v>950</v>
      </c>
      <c r="D428" s="91"/>
      <c r="E428" s="92"/>
      <c r="F428" s="93"/>
      <c r="G428" s="72">
        <f>SUM(G429:G463)</f>
        <v>543593.34207000001</v>
      </c>
      <c r="H428" s="48">
        <f t="shared" si="20"/>
        <v>7.8097432742823034E-2</v>
      </c>
      <c r="K428" s="41"/>
      <c r="N428" s="41"/>
    </row>
    <row r="429" spans="1:14" s="40" customFormat="1" ht="54" customHeight="1" x14ac:dyDescent="0.25">
      <c r="A429" s="94" t="s">
        <v>951</v>
      </c>
      <c r="B429" s="79">
        <v>92543</v>
      </c>
      <c r="C429" s="80" t="s">
        <v>952</v>
      </c>
      <c r="D429" s="69" t="s">
        <v>29</v>
      </c>
      <c r="E429" s="55">
        <v>1000</v>
      </c>
      <c r="F429" s="55">
        <v>14.38</v>
      </c>
      <c r="G429" s="120">
        <f>F429*E429</f>
        <v>14380</v>
      </c>
      <c r="H429" s="48">
        <f t="shared" si="20"/>
        <v>2.0659581270169019E-3</v>
      </c>
      <c r="J429" s="147"/>
      <c r="K429" s="41"/>
      <c r="N429" s="41"/>
    </row>
    <row r="430" spans="1:14" s="40" customFormat="1" ht="36" customHeight="1" x14ac:dyDescent="0.25">
      <c r="A430" s="94" t="s">
        <v>953</v>
      </c>
      <c r="B430" s="79">
        <v>92544</v>
      </c>
      <c r="C430" s="108" t="s">
        <v>954</v>
      </c>
      <c r="D430" s="69" t="s">
        <v>29</v>
      </c>
      <c r="E430" s="55">
        <v>1000</v>
      </c>
      <c r="F430" s="55">
        <v>12.14</v>
      </c>
      <c r="G430" s="120">
        <f t="shared" ref="G430:G463" si="21">F430*E430</f>
        <v>12140</v>
      </c>
      <c r="H430" s="48">
        <f t="shared" si="20"/>
        <v>1.744139893044867E-3</v>
      </c>
      <c r="J430" s="147"/>
      <c r="K430" s="41"/>
      <c r="N430" s="41"/>
    </row>
    <row r="431" spans="1:14" s="40" customFormat="1" ht="54" x14ac:dyDescent="0.25">
      <c r="A431" s="94" t="s">
        <v>955</v>
      </c>
      <c r="B431" s="79">
        <v>92540</v>
      </c>
      <c r="C431" s="108" t="s">
        <v>956</v>
      </c>
      <c r="D431" s="69" t="s">
        <v>29</v>
      </c>
      <c r="E431" s="55">
        <v>1000</v>
      </c>
      <c r="F431" s="55">
        <v>60.9</v>
      </c>
      <c r="G431" s="120">
        <f t="shared" si="21"/>
        <v>60900</v>
      </c>
      <c r="H431" s="48">
        <f t="shared" si="20"/>
        <v>8.7494332361146964E-3</v>
      </c>
      <c r="K431" s="41"/>
      <c r="N431" s="41"/>
    </row>
    <row r="432" spans="1:14" s="40" customFormat="1" ht="36" customHeight="1" x14ac:dyDescent="0.25">
      <c r="A432" s="94" t="s">
        <v>957</v>
      </c>
      <c r="B432" s="79">
        <v>94446</v>
      </c>
      <c r="C432" s="108" t="s">
        <v>958</v>
      </c>
      <c r="D432" s="69" t="s">
        <v>29</v>
      </c>
      <c r="E432" s="55">
        <v>1000</v>
      </c>
      <c r="F432" s="55">
        <v>37.85</v>
      </c>
      <c r="G432" s="120">
        <f t="shared" si="21"/>
        <v>37850</v>
      </c>
      <c r="H432" s="48">
        <f t="shared" si="20"/>
        <v>5.4378661410006768E-3</v>
      </c>
      <c r="K432" s="41"/>
      <c r="N432" s="41"/>
    </row>
    <row r="433" spans="1:14" s="40" customFormat="1" ht="18" customHeight="1" x14ac:dyDescent="0.25">
      <c r="A433" s="94" t="s">
        <v>959</v>
      </c>
      <c r="B433" s="79" t="s">
        <v>960</v>
      </c>
      <c r="C433" s="108" t="str">
        <f>UPPER("Cumeeira normal em fibrocimento para telha de 8mm")</f>
        <v>CUMEEIRA NORMAL EM FIBROCIMENTO PARA TELHA DE 8MM</v>
      </c>
      <c r="D433" s="69" t="s">
        <v>38</v>
      </c>
      <c r="E433" s="55">
        <v>800</v>
      </c>
      <c r="F433" s="55">
        <v>79.819999999999993</v>
      </c>
      <c r="G433" s="120">
        <f t="shared" si="21"/>
        <v>63855.999999999993</v>
      </c>
      <c r="H433" s="48">
        <f t="shared" si="20"/>
        <v>9.17411836987422E-3</v>
      </c>
      <c r="K433" s="41"/>
      <c r="N433" s="41"/>
    </row>
    <row r="434" spans="1:14" s="40" customFormat="1" ht="36" customHeight="1" x14ac:dyDescent="0.25">
      <c r="A434" s="94" t="s">
        <v>961</v>
      </c>
      <c r="B434" s="79" t="s">
        <v>962</v>
      </c>
      <c r="C434" s="108" t="str">
        <f>UPPER("Telhamento com telha de fibrocimento ondulada esp = 8mm")</f>
        <v>TELHAMENTO COM TELHA DE FIBROCIMENTO ONDULADA ESP = 8MM</v>
      </c>
      <c r="D434" s="69" t="s">
        <v>29</v>
      </c>
      <c r="E434" s="55">
        <v>1500</v>
      </c>
      <c r="F434" s="55">
        <v>44.74</v>
      </c>
      <c r="G434" s="120">
        <f t="shared" si="21"/>
        <v>67110</v>
      </c>
      <c r="H434" s="48">
        <f t="shared" si="20"/>
        <v>9.6416168222603817E-3</v>
      </c>
      <c r="K434" s="41"/>
      <c r="N434" s="41"/>
    </row>
    <row r="435" spans="1:14" s="40" customFormat="1" ht="36" customHeight="1" x14ac:dyDescent="0.25">
      <c r="A435" s="94" t="s">
        <v>963</v>
      </c>
      <c r="B435" s="79" t="s">
        <v>964</v>
      </c>
      <c r="C435" s="108" t="str">
        <f>UPPER("Telhamento com telha de fibrocimento tipo canalete 49 (Eternit ou similar)")</f>
        <v>TELHAMENTO COM TELHA DE FIBROCIMENTO TIPO CANALETE 49 (ETERNIT OU SIMILAR)</v>
      </c>
      <c r="D435" s="69" t="s">
        <v>29</v>
      </c>
      <c r="E435" s="55">
        <v>200</v>
      </c>
      <c r="F435" s="96">
        <v>129.80000000000001</v>
      </c>
      <c r="G435" s="120">
        <f t="shared" si="21"/>
        <v>25960.000000000004</v>
      </c>
      <c r="H435" s="48">
        <f t="shared" si="20"/>
        <v>3.729643461568761E-3</v>
      </c>
      <c r="K435" s="41"/>
      <c r="N435" s="41"/>
    </row>
    <row r="436" spans="1:14" s="40" customFormat="1" ht="36" customHeight="1" x14ac:dyDescent="0.25">
      <c r="A436" s="94" t="s">
        <v>965</v>
      </c>
      <c r="B436" s="79" t="s">
        <v>966</v>
      </c>
      <c r="C436" s="108" t="str">
        <f>UPPER("Telhamento com telha de fibrocimento tipo canalete 90 (Eternit ou similar)")</f>
        <v>TELHAMENTO COM TELHA DE FIBROCIMENTO TIPO CANALETE 90 (ETERNIT OU SIMILAR)</v>
      </c>
      <c r="D436" s="69" t="s">
        <v>29</v>
      </c>
      <c r="E436" s="55">
        <v>200</v>
      </c>
      <c r="F436" s="96">
        <v>122.37</v>
      </c>
      <c r="G436" s="120">
        <f t="shared" si="21"/>
        <v>24474</v>
      </c>
      <c r="H436" s="48">
        <f t="shared" si="20"/>
        <v>3.5161515438533837E-3</v>
      </c>
      <c r="K436" s="41"/>
      <c r="N436" s="41"/>
    </row>
    <row r="437" spans="1:14" s="40" customFormat="1" ht="36" customHeight="1" x14ac:dyDescent="0.25">
      <c r="A437" s="94" t="s">
        <v>967</v>
      </c>
      <c r="B437" s="79">
        <v>94440</v>
      </c>
      <c r="C437" s="108" t="s">
        <v>968</v>
      </c>
      <c r="D437" s="69" t="s">
        <v>29</v>
      </c>
      <c r="E437" s="55">
        <v>500</v>
      </c>
      <c r="F437" s="96">
        <v>22.67</v>
      </c>
      <c r="G437" s="120">
        <f t="shared" si="21"/>
        <v>11335</v>
      </c>
      <c r="H437" s="48">
        <f t="shared" si="20"/>
        <v>1.6284864652111671E-3</v>
      </c>
      <c r="K437" s="41"/>
      <c r="N437" s="41"/>
    </row>
    <row r="438" spans="1:14" s="40" customFormat="1" ht="36" customHeight="1" x14ac:dyDescent="0.25">
      <c r="A438" s="94" t="s">
        <v>969</v>
      </c>
      <c r="B438" s="79">
        <v>94224</v>
      </c>
      <c r="C438" s="108" t="s">
        <v>970</v>
      </c>
      <c r="D438" s="69" t="s">
        <v>38</v>
      </c>
      <c r="E438" s="55">
        <v>1000</v>
      </c>
      <c r="F438" s="96">
        <v>22.32</v>
      </c>
      <c r="G438" s="120">
        <f t="shared" si="21"/>
        <v>22320</v>
      </c>
      <c r="H438" s="48">
        <f t="shared" si="20"/>
        <v>3.2066888313642037E-3</v>
      </c>
      <c r="K438" s="41"/>
      <c r="N438" s="41"/>
    </row>
    <row r="439" spans="1:14" s="40" customFormat="1" ht="18" customHeight="1" x14ac:dyDescent="0.25">
      <c r="A439" s="94" t="s">
        <v>971</v>
      </c>
      <c r="B439" s="79">
        <v>94232</v>
      </c>
      <c r="C439" s="108" t="s">
        <v>972</v>
      </c>
      <c r="D439" s="69" t="s">
        <v>52</v>
      </c>
      <c r="E439" s="55">
        <v>5000</v>
      </c>
      <c r="F439" s="96">
        <v>2.66</v>
      </c>
      <c r="G439" s="120">
        <f t="shared" si="21"/>
        <v>13300</v>
      </c>
      <c r="H439" s="48">
        <f t="shared" si="20"/>
        <v>1.9107957642089566E-3</v>
      </c>
      <c r="K439" s="41"/>
      <c r="N439" s="41"/>
    </row>
    <row r="440" spans="1:14" s="40" customFormat="1" ht="36" customHeight="1" x14ac:dyDescent="0.25">
      <c r="A440" s="94" t="s">
        <v>973</v>
      </c>
      <c r="B440" s="79">
        <v>100434</v>
      </c>
      <c r="C440" s="80" t="s">
        <v>974</v>
      </c>
      <c r="D440" s="69" t="s">
        <v>38</v>
      </c>
      <c r="E440" s="55">
        <v>200</v>
      </c>
      <c r="F440" s="55">
        <v>45.69</v>
      </c>
      <c r="G440" s="120">
        <f t="shared" si="21"/>
        <v>9138</v>
      </c>
      <c r="H440" s="48">
        <f t="shared" si="20"/>
        <v>1.3128459919805597E-3</v>
      </c>
      <c r="K440" s="41"/>
      <c r="N440" s="41"/>
    </row>
    <row r="441" spans="1:14" s="40" customFormat="1" ht="72" customHeight="1" x14ac:dyDescent="0.25">
      <c r="A441" s="94" t="s">
        <v>975</v>
      </c>
      <c r="B441" s="79">
        <v>94219</v>
      </c>
      <c r="C441" s="80" t="s">
        <v>976</v>
      </c>
      <c r="D441" s="69" t="s">
        <v>152</v>
      </c>
      <c r="E441" s="55">
        <v>48.8</v>
      </c>
      <c r="F441" s="55">
        <v>24.83</v>
      </c>
      <c r="G441" s="120">
        <f t="shared" si="21"/>
        <v>1211.704</v>
      </c>
      <c r="H441" s="48">
        <f t="shared" si="20"/>
        <v>1.7408412561466537E-4</v>
      </c>
      <c r="K441" s="41"/>
      <c r="N441" s="41"/>
    </row>
    <row r="442" spans="1:14" s="40" customFormat="1" ht="36" customHeight="1" x14ac:dyDescent="0.25">
      <c r="A442" s="94" t="s">
        <v>977</v>
      </c>
      <c r="B442" s="79" t="s">
        <v>978</v>
      </c>
      <c r="C442" s="80" t="s">
        <v>979</v>
      </c>
      <c r="D442" s="69" t="s">
        <v>152</v>
      </c>
      <c r="E442" s="55">
        <v>900</v>
      </c>
      <c r="F442" s="55">
        <v>5.17</v>
      </c>
      <c r="G442" s="120">
        <f t="shared" si="21"/>
        <v>4653</v>
      </c>
      <c r="H442" s="48">
        <f t="shared" si="20"/>
        <v>6.6849117976423118E-4</v>
      </c>
      <c r="K442" s="41"/>
      <c r="N442" s="41"/>
    </row>
    <row r="443" spans="1:14" s="40" customFormat="1" ht="36" customHeight="1" x14ac:dyDescent="0.25">
      <c r="A443" s="94" t="s">
        <v>980</v>
      </c>
      <c r="B443" s="79">
        <v>94226</v>
      </c>
      <c r="C443" s="80" t="s">
        <v>981</v>
      </c>
      <c r="D443" s="69" t="s">
        <v>148</v>
      </c>
      <c r="E443" s="55">
        <v>600</v>
      </c>
      <c r="F443" s="55">
        <v>16.04</v>
      </c>
      <c r="G443" s="120">
        <f t="shared" si="21"/>
        <v>9624</v>
      </c>
      <c r="H443" s="48">
        <f t="shared" si="20"/>
        <v>1.3826690552441352E-3</v>
      </c>
      <c r="K443" s="41"/>
      <c r="N443" s="41"/>
    </row>
    <row r="444" spans="1:14" s="40" customFormat="1" ht="36" customHeight="1" x14ac:dyDescent="0.25">
      <c r="A444" s="94" t="s">
        <v>982</v>
      </c>
      <c r="B444" s="79">
        <v>94227</v>
      </c>
      <c r="C444" s="80" t="s">
        <v>983</v>
      </c>
      <c r="D444" s="69" t="s">
        <v>152</v>
      </c>
      <c r="E444" s="55">
        <v>50</v>
      </c>
      <c r="F444" s="55">
        <v>43.17</v>
      </c>
      <c r="G444" s="120">
        <f t="shared" si="21"/>
        <v>2158.5</v>
      </c>
      <c r="H444" s="48">
        <f t="shared" si="20"/>
        <v>3.1010922233421298E-4</v>
      </c>
      <c r="K444" s="41"/>
      <c r="N444" s="41"/>
    </row>
    <row r="445" spans="1:14" s="40" customFormat="1" ht="36" customHeight="1" x14ac:dyDescent="0.25">
      <c r="A445" s="94" t="s">
        <v>984</v>
      </c>
      <c r="B445" s="79">
        <v>94231</v>
      </c>
      <c r="C445" s="80" t="s">
        <v>985</v>
      </c>
      <c r="D445" s="69" t="s">
        <v>152</v>
      </c>
      <c r="E445" s="55">
        <v>50</v>
      </c>
      <c r="F445" s="55">
        <v>34.99</v>
      </c>
      <c r="G445" s="120">
        <f t="shared" si="21"/>
        <v>1749.5</v>
      </c>
      <c r="H445" s="48">
        <f t="shared" si="20"/>
        <v>2.513486608634263E-4</v>
      </c>
      <c r="K445" s="41"/>
      <c r="N445" s="41"/>
    </row>
    <row r="446" spans="1:14" s="40" customFormat="1" ht="18" customHeight="1" x14ac:dyDescent="0.25">
      <c r="A446" s="94" t="s">
        <v>986</v>
      </c>
      <c r="B446" s="79" t="s">
        <v>987</v>
      </c>
      <c r="C446" s="80" t="s">
        <v>988</v>
      </c>
      <c r="D446" s="69" t="s">
        <v>152</v>
      </c>
      <c r="E446" s="55">
        <v>100</v>
      </c>
      <c r="F446" s="55">
        <v>30.14</v>
      </c>
      <c r="G446" s="120">
        <f t="shared" si="21"/>
        <v>3014</v>
      </c>
      <c r="H446" s="48">
        <f t="shared" si="20"/>
        <v>4.3301792731772896E-4</v>
      </c>
      <c r="K446" s="41"/>
      <c r="N446" s="41"/>
    </row>
    <row r="447" spans="1:14" s="40" customFormat="1" ht="36" x14ac:dyDescent="0.25">
      <c r="A447" s="94" t="s">
        <v>989</v>
      </c>
      <c r="B447" s="121" t="s">
        <v>966</v>
      </c>
      <c r="C447" s="108" t="s">
        <v>990</v>
      </c>
      <c r="D447" s="119" t="s">
        <v>29</v>
      </c>
      <c r="E447" s="85">
        <v>37.611000000000004</v>
      </c>
      <c r="F447" s="85">
        <v>122.37</v>
      </c>
      <c r="G447" s="120">
        <f t="shared" si="21"/>
        <v>4602.4580700000006</v>
      </c>
      <c r="H447" s="48">
        <f t="shared" si="20"/>
        <v>6.612298785793481E-4</v>
      </c>
      <c r="K447" s="41"/>
      <c r="N447" s="41"/>
    </row>
    <row r="448" spans="1:14" s="40" customFormat="1" ht="36" x14ac:dyDescent="0.25">
      <c r="A448" s="94" t="s">
        <v>991</v>
      </c>
      <c r="B448" s="121" t="s">
        <v>992</v>
      </c>
      <c r="C448" s="108" t="s">
        <v>993</v>
      </c>
      <c r="D448" s="119" t="s">
        <v>38</v>
      </c>
      <c r="E448" s="85">
        <v>5</v>
      </c>
      <c r="F448" s="85">
        <v>120.76</v>
      </c>
      <c r="G448" s="120">
        <f t="shared" si="21"/>
        <v>603.80000000000007</v>
      </c>
      <c r="H448" s="48">
        <f t="shared" si="20"/>
        <v>8.6747254317997598E-5</v>
      </c>
      <c r="K448" s="41"/>
      <c r="N448" s="41"/>
    </row>
    <row r="449" spans="1:56" s="40" customFormat="1" ht="18" customHeight="1" x14ac:dyDescent="0.25">
      <c r="A449" s="94" t="s">
        <v>994</v>
      </c>
      <c r="B449" s="121" t="s">
        <v>995</v>
      </c>
      <c r="C449" s="108" t="s">
        <v>996</v>
      </c>
      <c r="D449" s="119" t="s">
        <v>52</v>
      </c>
      <c r="E449" s="85">
        <v>20</v>
      </c>
      <c r="F449" s="85">
        <v>27.43</v>
      </c>
      <c r="G449" s="120">
        <f t="shared" si="21"/>
        <v>548.6</v>
      </c>
      <c r="H449" s="48">
        <f t="shared" si="20"/>
        <v>7.8816733552258161E-5</v>
      </c>
      <c r="K449" s="41"/>
      <c r="N449" s="41"/>
    </row>
    <row r="450" spans="1:56" s="40" customFormat="1" ht="36" x14ac:dyDescent="0.25">
      <c r="A450" s="94" t="s">
        <v>997</v>
      </c>
      <c r="B450" s="121" t="s">
        <v>964</v>
      </c>
      <c r="C450" s="108" t="s">
        <v>998</v>
      </c>
      <c r="D450" s="119" t="s">
        <v>29</v>
      </c>
      <c r="E450" s="85">
        <v>500</v>
      </c>
      <c r="F450" s="85">
        <v>129.80000000000001</v>
      </c>
      <c r="G450" s="120">
        <f t="shared" si="21"/>
        <v>64900.000000000007</v>
      </c>
      <c r="H450" s="48">
        <f t="shared" si="20"/>
        <v>9.3241086539219021E-3</v>
      </c>
      <c r="K450" s="41"/>
      <c r="N450" s="41"/>
    </row>
    <row r="451" spans="1:56" s="40" customFormat="1" ht="36" x14ac:dyDescent="0.25">
      <c r="A451" s="94" t="s">
        <v>999</v>
      </c>
      <c r="B451" s="121" t="s">
        <v>1000</v>
      </c>
      <c r="C451" s="108" t="s">
        <v>1001</v>
      </c>
      <c r="D451" s="119" t="s">
        <v>38</v>
      </c>
      <c r="E451" s="85">
        <v>62</v>
      </c>
      <c r="F451" s="85">
        <v>70.89</v>
      </c>
      <c r="G451" s="120">
        <f t="shared" si="21"/>
        <v>4395.18</v>
      </c>
      <c r="H451" s="48">
        <f t="shared" si="20"/>
        <v>6.3145047570946789E-4</v>
      </c>
      <c r="K451" s="41"/>
      <c r="N451" s="41"/>
    </row>
    <row r="452" spans="1:56" s="40" customFormat="1" ht="18" customHeight="1" x14ac:dyDescent="0.25">
      <c r="A452" s="94" t="s">
        <v>1002</v>
      </c>
      <c r="B452" s="121" t="s">
        <v>1003</v>
      </c>
      <c r="C452" s="108" t="s">
        <v>1004</v>
      </c>
      <c r="D452" s="119" t="s">
        <v>52</v>
      </c>
      <c r="E452" s="85">
        <v>20</v>
      </c>
      <c r="F452" s="85">
        <v>19.350000000000001</v>
      </c>
      <c r="G452" s="120">
        <f t="shared" si="21"/>
        <v>387</v>
      </c>
      <c r="H452" s="48">
        <f t="shared" si="20"/>
        <v>5.5599846672847081E-5</v>
      </c>
      <c r="K452" s="41"/>
      <c r="N452" s="41"/>
    </row>
    <row r="453" spans="1:56" s="40" customFormat="1" ht="36" x14ac:dyDescent="0.25">
      <c r="A453" s="94" t="s">
        <v>1005</v>
      </c>
      <c r="B453" s="121" t="s">
        <v>1006</v>
      </c>
      <c r="C453" s="108" t="s">
        <v>1007</v>
      </c>
      <c r="D453" s="119" t="s">
        <v>29</v>
      </c>
      <c r="E453" s="85">
        <v>4500</v>
      </c>
      <c r="F453" s="85">
        <v>1.26</v>
      </c>
      <c r="G453" s="120">
        <f t="shared" si="21"/>
        <v>5670</v>
      </c>
      <c r="H453" s="48">
        <f t="shared" ref="H453:H516" si="22">G453/$G$602</f>
        <v>8.1460240474171312E-4</v>
      </c>
      <c r="K453" s="41"/>
      <c r="N453" s="41"/>
    </row>
    <row r="454" spans="1:56" s="40" customFormat="1" ht="36" x14ac:dyDescent="0.25">
      <c r="A454" s="94" t="s">
        <v>1008</v>
      </c>
      <c r="B454" s="121" t="s">
        <v>1009</v>
      </c>
      <c r="C454" s="108" t="str">
        <f>UPPER("Telhamento com telha cerâmica tipo colonial, 1ª qualid, cor clara, Itabaianinha ou similar - Rev 02")</f>
        <v>TELHAMENTO COM TELHA CERÂMICA TIPO COLONIAL, 1ª QUALID, COR CLARA, ITABAIANINHA OU SIMILAR - REV 02</v>
      </c>
      <c r="D454" s="119" t="s">
        <v>29</v>
      </c>
      <c r="E454" s="85">
        <v>40</v>
      </c>
      <c r="F454" s="85">
        <v>61.77</v>
      </c>
      <c r="G454" s="120">
        <f t="shared" si="21"/>
        <v>2470.8000000000002</v>
      </c>
      <c r="H454" s="48">
        <f t="shared" si="22"/>
        <v>3.5497700557951057E-4</v>
      </c>
      <c r="K454" s="41"/>
      <c r="N454" s="41"/>
    </row>
    <row r="455" spans="1:56" s="40" customFormat="1" ht="36" x14ac:dyDescent="0.25">
      <c r="A455" s="94" t="s">
        <v>1010</v>
      </c>
      <c r="B455" s="121" t="s">
        <v>1011</v>
      </c>
      <c r="C455" s="108" t="str">
        <f>UPPER("Grampeamento de telhas de barro tipo canal com arame cobre nº 14")</f>
        <v>GRAMPEAMENTO DE TELHAS DE BARRO TIPO CANAL COM ARAME COBRE Nº 14</v>
      </c>
      <c r="D455" s="119" t="s">
        <v>29</v>
      </c>
      <c r="E455" s="85">
        <v>40</v>
      </c>
      <c r="F455" s="85">
        <v>23.56</v>
      </c>
      <c r="G455" s="120">
        <f t="shared" si="21"/>
        <v>942.4</v>
      </c>
      <c r="H455" s="48">
        <f t="shared" si="22"/>
        <v>1.353935284353775E-4</v>
      </c>
      <c r="K455" s="41"/>
      <c r="N455" s="41"/>
    </row>
    <row r="456" spans="1:56" s="40" customFormat="1" ht="36" x14ac:dyDescent="0.25">
      <c r="A456" s="94" t="s">
        <v>1012</v>
      </c>
      <c r="B456" s="121">
        <v>94229</v>
      </c>
      <c r="C456" s="108" t="s">
        <v>1013</v>
      </c>
      <c r="D456" s="119" t="s">
        <v>38</v>
      </c>
      <c r="E456" s="85">
        <v>10</v>
      </c>
      <c r="F456" s="85">
        <v>113.37</v>
      </c>
      <c r="G456" s="120">
        <f t="shared" si="21"/>
        <v>1133.7</v>
      </c>
      <c r="H456" s="48">
        <f t="shared" si="22"/>
        <v>1.6287738029200708E-4</v>
      </c>
      <c r="K456" s="41"/>
      <c r="N456" s="41"/>
    </row>
    <row r="457" spans="1:56" s="40" customFormat="1" ht="36" x14ac:dyDescent="0.25">
      <c r="A457" s="94"/>
      <c r="B457" s="121">
        <v>94228</v>
      </c>
      <c r="C457" s="108" t="s">
        <v>983</v>
      </c>
      <c r="D457" s="119" t="s">
        <v>38</v>
      </c>
      <c r="E457" s="85">
        <v>10</v>
      </c>
      <c r="F457" s="85">
        <v>58.88</v>
      </c>
      <c r="G457" s="120">
        <f t="shared" si="21"/>
        <v>588.80000000000007</v>
      </c>
      <c r="H457" s="48">
        <f t="shared" si="22"/>
        <v>8.4592221501220583E-5</v>
      </c>
      <c r="K457" s="41"/>
      <c r="N457" s="41"/>
    </row>
    <row r="458" spans="1:56" s="40" customFormat="1" ht="72" x14ac:dyDescent="0.25">
      <c r="A458" s="94" t="s">
        <v>1014</v>
      </c>
      <c r="B458" s="121">
        <v>94210</v>
      </c>
      <c r="C458" s="108" t="s">
        <v>1015</v>
      </c>
      <c r="D458" s="119" t="s">
        <v>29</v>
      </c>
      <c r="E458" s="85">
        <v>100</v>
      </c>
      <c r="F458" s="85">
        <v>40.049999999999997</v>
      </c>
      <c r="G458" s="120">
        <f t="shared" si="21"/>
        <v>4004.9999999999995</v>
      </c>
      <c r="H458" s="48">
        <f t="shared" si="22"/>
        <v>5.7539376207946388E-4</v>
      </c>
      <c r="K458" s="41"/>
      <c r="N458" s="41"/>
    </row>
    <row r="459" spans="1:56" s="40" customFormat="1" ht="54" x14ac:dyDescent="0.25">
      <c r="A459" s="94" t="s">
        <v>1016</v>
      </c>
      <c r="B459" s="121">
        <v>94223</v>
      </c>
      <c r="C459" s="108" t="s">
        <v>1017</v>
      </c>
      <c r="D459" s="119" t="s">
        <v>38</v>
      </c>
      <c r="E459" s="85">
        <v>100</v>
      </c>
      <c r="F459" s="85">
        <v>47.83</v>
      </c>
      <c r="G459" s="120">
        <f t="shared" si="21"/>
        <v>4783</v>
      </c>
      <c r="H459" s="48">
        <f t="shared" si="22"/>
        <v>6.8716813084296541E-4</v>
      </c>
      <c r="K459" s="41"/>
      <c r="N459" s="41"/>
    </row>
    <row r="460" spans="1:56" s="40" customFormat="1" ht="36" x14ac:dyDescent="0.25">
      <c r="A460" s="94" t="s">
        <v>1018</v>
      </c>
      <c r="B460" s="121" t="s">
        <v>1019</v>
      </c>
      <c r="C460" s="108" t="s">
        <v>1020</v>
      </c>
      <c r="D460" s="119" t="s">
        <v>29</v>
      </c>
      <c r="E460" s="85">
        <v>100</v>
      </c>
      <c r="F460" s="85">
        <v>15.81</v>
      </c>
      <c r="G460" s="120">
        <f t="shared" si="21"/>
        <v>1581</v>
      </c>
      <c r="H460" s="48">
        <f t="shared" si="22"/>
        <v>2.2714045888829777E-4</v>
      </c>
      <c r="K460" s="41"/>
      <c r="N460" s="41"/>
    </row>
    <row r="461" spans="1:56" s="40" customFormat="1" ht="36" x14ac:dyDescent="0.25">
      <c r="A461" s="94" t="s">
        <v>1021</v>
      </c>
      <c r="B461" s="121" t="s">
        <v>1022</v>
      </c>
      <c r="C461" s="108" t="str">
        <f>UPPER("Madeiramento em massaranduba/madeira de lei, peça serrada 7cm x 20 cm com abertura de encaixes")</f>
        <v>MADEIRAMENTO EM MASSARANDUBA/MADEIRA DE LEI, PEÇA SERRADA 7CM X 20 CM COM ABERTURA DE ENCAIXES</v>
      </c>
      <c r="D461" s="119" t="s">
        <v>38</v>
      </c>
      <c r="E461" s="85">
        <v>10</v>
      </c>
      <c r="F461" s="85">
        <v>83.39</v>
      </c>
      <c r="G461" s="120">
        <f t="shared" si="21"/>
        <v>833.9</v>
      </c>
      <c r="H461" s="48">
        <f t="shared" si="22"/>
        <v>1.1980545772735706E-4</v>
      </c>
      <c r="K461" s="41"/>
      <c r="N461" s="41"/>
    </row>
    <row r="462" spans="1:56" s="40" customFormat="1" ht="36" x14ac:dyDescent="0.25">
      <c r="A462" s="94" t="s">
        <v>1023</v>
      </c>
      <c r="B462" s="121" t="s">
        <v>1024</v>
      </c>
      <c r="C462" s="108" t="str">
        <f>UPPER("Fornecimento e assentamento de Ripão Massaranduba 5 x 3cm")</f>
        <v>FORNECIMENTO E ASSENTAMENTO DE RIPÃO MASSARANDUBA 5 X 3CM</v>
      </c>
      <c r="D462" s="119" t="s">
        <v>38</v>
      </c>
      <c r="E462" s="85">
        <v>100</v>
      </c>
      <c r="F462" s="85">
        <v>9.74</v>
      </c>
      <c r="G462" s="120">
        <f t="shared" si="21"/>
        <v>974</v>
      </c>
      <c r="H462" s="48">
        <f t="shared" si="22"/>
        <v>1.399334642360544E-4</v>
      </c>
      <c r="K462" s="41"/>
      <c r="N462" s="41"/>
    </row>
    <row r="463" spans="1:56" s="40" customFormat="1" ht="36" customHeight="1" thickBot="1" x14ac:dyDescent="0.3">
      <c r="A463" s="148" t="s">
        <v>1025</v>
      </c>
      <c r="B463" s="121" t="s">
        <v>1026</v>
      </c>
      <c r="C463" s="108" t="str">
        <f>UPPER("Calha de coleta em fibra vidro de 6mm, fornecimento e instalação")</f>
        <v>CALHA DE COLETA EM FIBRA VIDRO DE 6MM, FORNECIMENTO E INSTALAÇÃO</v>
      </c>
      <c r="D463" s="119" t="s">
        <v>29</v>
      </c>
      <c r="E463" s="85">
        <f>100*2</f>
        <v>200</v>
      </c>
      <c r="F463" s="85">
        <v>300</v>
      </c>
      <c r="G463" s="124">
        <f t="shared" si="21"/>
        <v>60000</v>
      </c>
      <c r="H463" s="48">
        <f t="shared" si="22"/>
        <v>8.6201312671080749E-3</v>
      </c>
      <c r="K463" s="41"/>
      <c r="N463" s="41"/>
    </row>
    <row r="464" spans="1:56" s="40" customFormat="1" ht="18.75" thickBot="1" x14ac:dyDescent="0.3">
      <c r="A464" s="42">
        <v>16</v>
      </c>
      <c r="B464" s="90"/>
      <c r="C464" s="71" t="s">
        <v>1027</v>
      </c>
      <c r="D464" s="91"/>
      <c r="E464" s="92"/>
      <c r="F464" s="93"/>
      <c r="G464" s="149">
        <f>SUM(G465:G471)</f>
        <v>39037.887999999999</v>
      </c>
      <c r="H464" s="48">
        <f t="shared" si="22"/>
        <v>5.6085286491777183E-3</v>
      </c>
      <c r="I464" s="150"/>
      <c r="J464" s="151"/>
      <c r="K464" s="151"/>
      <c r="L464" s="151"/>
      <c r="M464" s="151"/>
      <c r="N464" s="151"/>
      <c r="O464" s="151"/>
      <c r="P464" s="151"/>
      <c r="Q464" s="151"/>
      <c r="R464" s="151"/>
      <c r="S464" s="151"/>
      <c r="T464" s="151"/>
      <c r="U464" s="151"/>
      <c r="V464" s="151"/>
      <c r="W464" s="151"/>
      <c r="X464" s="151"/>
      <c r="Y464" s="151"/>
      <c r="Z464" s="151"/>
      <c r="AA464" s="151"/>
      <c r="AB464" s="151"/>
      <c r="AC464" s="151"/>
      <c r="AD464" s="151"/>
      <c r="AE464" s="151"/>
      <c r="AF464" s="151"/>
      <c r="AG464" s="151"/>
      <c r="AH464" s="151"/>
      <c r="AI464" s="151"/>
      <c r="AJ464" s="151"/>
      <c r="AK464" s="151"/>
      <c r="AL464" s="151"/>
      <c r="AM464" s="151"/>
      <c r="AN464" s="151"/>
      <c r="AO464" s="151"/>
      <c r="AP464" s="151"/>
      <c r="AQ464" s="151"/>
      <c r="AR464" s="151"/>
      <c r="AS464" s="151"/>
      <c r="AT464" s="151"/>
      <c r="AU464" s="151"/>
      <c r="AV464" s="151"/>
      <c r="AW464" s="151"/>
      <c r="AX464" s="151"/>
      <c r="AY464" s="151"/>
      <c r="AZ464" s="151"/>
      <c r="BA464" s="151"/>
      <c r="BB464" s="151"/>
      <c r="BC464" s="151"/>
      <c r="BD464" s="151"/>
    </row>
    <row r="465" spans="1:56" s="40" customFormat="1" ht="36" x14ac:dyDescent="0.25">
      <c r="A465" s="94" t="s">
        <v>1028</v>
      </c>
      <c r="B465" s="152" t="s">
        <v>479</v>
      </c>
      <c r="C465" s="153" t="s">
        <v>664</v>
      </c>
      <c r="D465" s="53" t="s">
        <v>38</v>
      </c>
      <c r="E465" s="154">
        <v>100</v>
      </c>
      <c r="F465" s="155">
        <f>[1]COMPOSIÇÕES!H48</f>
        <v>21.45834</v>
      </c>
      <c r="G465" s="156">
        <f t="shared" ref="G465:G471" si="23">F465*E465</f>
        <v>2145.8339999999998</v>
      </c>
      <c r="H465" s="48">
        <f t="shared" si="22"/>
        <v>3.0828951262372646E-4</v>
      </c>
      <c r="I465" s="151"/>
      <c r="J465" s="151"/>
      <c r="K465" s="151"/>
      <c r="L465" s="151"/>
      <c r="M465" s="151"/>
      <c r="N465" s="151"/>
      <c r="O465" s="151"/>
      <c r="P465" s="151"/>
      <c r="Q465" s="151"/>
      <c r="R465" s="151"/>
      <c r="S465" s="151"/>
      <c r="T465" s="151"/>
      <c r="U465" s="151"/>
      <c r="V465" s="151"/>
      <c r="W465" s="151"/>
      <c r="X465" s="151"/>
      <c r="Y465" s="151"/>
      <c r="Z465" s="151"/>
      <c r="AA465" s="151"/>
      <c r="AB465" s="151"/>
      <c r="AC465" s="151"/>
      <c r="AD465" s="151"/>
      <c r="AE465" s="151"/>
      <c r="AF465" s="151"/>
      <c r="AG465" s="151"/>
      <c r="AH465" s="151"/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</row>
    <row r="466" spans="1:56" s="40" customFormat="1" ht="36" customHeight="1" x14ac:dyDescent="0.25">
      <c r="A466" s="94" t="s">
        <v>1029</v>
      </c>
      <c r="B466" s="79" t="s">
        <v>479</v>
      </c>
      <c r="C466" s="80" t="s">
        <v>666</v>
      </c>
      <c r="D466" s="69" t="s">
        <v>38</v>
      </c>
      <c r="E466" s="55">
        <v>200</v>
      </c>
      <c r="F466" s="96">
        <f>[1]COMPOSIÇÕES!H56</f>
        <v>26.63814</v>
      </c>
      <c r="G466" s="156">
        <f t="shared" si="23"/>
        <v>5327.6279999999997</v>
      </c>
      <c r="H466" s="48">
        <f t="shared" si="22"/>
        <v>7.6541421170534093E-4</v>
      </c>
      <c r="I466" s="151"/>
      <c r="J466" s="151"/>
      <c r="K466" s="151"/>
      <c r="L466" s="151"/>
      <c r="M466" s="151"/>
      <c r="N466" s="151"/>
      <c r="O466" s="151"/>
      <c r="P466" s="151"/>
      <c r="Q466" s="151"/>
      <c r="R466" s="151"/>
      <c r="S466" s="151"/>
      <c r="T466" s="151"/>
      <c r="U466" s="151"/>
      <c r="V466" s="151"/>
      <c r="W466" s="151"/>
      <c r="X466" s="151"/>
      <c r="Y466" s="151"/>
      <c r="Z466" s="151"/>
      <c r="AA466" s="151"/>
      <c r="AB466" s="151"/>
      <c r="AC466" s="151"/>
      <c r="AD466" s="151"/>
      <c r="AE466" s="151"/>
      <c r="AF466" s="151"/>
      <c r="AG466" s="151"/>
      <c r="AH466" s="151"/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</row>
    <row r="467" spans="1:56" s="40" customFormat="1" ht="36" x14ac:dyDescent="0.25">
      <c r="A467" s="94" t="s">
        <v>1030</v>
      </c>
      <c r="B467" s="79" t="s">
        <v>479</v>
      </c>
      <c r="C467" s="107" t="str">
        <f>[1]COMPOSIÇÕES!D80</f>
        <v>TOMADA DUPLA PARA LÓGICA LINHA CONDULETE TOP TIGRE OU SIMILAR - FORNECIMENTO E INSTALAÇÃO</v>
      </c>
      <c r="D467" s="69" t="s">
        <v>52</v>
      </c>
      <c r="E467" s="55">
        <v>100</v>
      </c>
      <c r="F467" s="155">
        <f>[1]COMPOSIÇÕES!H88</f>
        <v>78.08426</v>
      </c>
      <c r="G467" s="156">
        <f t="shared" si="23"/>
        <v>7808.4260000000004</v>
      </c>
      <c r="H467" s="48">
        <f t="shared" si="22"/>
        <v>1.1218276184916606E-3</v>
      </c>
      <c r="I467" s="151"/>
      <c r="J467" s="151"/>
      <c r="K467" s="151"/>
      <c r="L467" s="151"/>
      <c r="M467" s="151"/>
      <c r="N467" s="151"/>
      <c r="O467" s="151"/>
      <c r="P467" s="151"/>
      <c r="Q467" s="151"/>
      <c r="R467" s="151"/>
      <c r="S467" s="151"/>
      <c r="T467" s="151"/>
      <c r="U467" s="151"/>
      <c r="V467" s="151"/>
      <c r="W467" s="151"/>
      <c r="X467" s="151"/>
      <c r="Y467" s="151"/>
      <c r="Z467" s="151"/>
      <c r="AA467" s="151"/>
      <c r="AB467" s="151"/>
      <c r="AC467" s="151"/>
      <c r="AD467" s="151"/>
      <c r="AE467" s="151"/>
      <c r="AF467" s="151"/>
      <c r="AG467" s="151"/>
      <c r="AH467" s="151"/>
      <c r="AI467" s="151"/>
      <c r="AJ467" s="151"/>
      <c r="AK467" s="151"/>
      <c r="AL467" s="151"/>
      <c r="AM467" s="151"/>
      <c r="AN467" s="151"/>
      <c r="AO467" s="151"/>
      <c r="AP467" s="151"/>
      <c r="AQ467" s="151"/>
      <c r="AR467" s="151"/>
      <c r="AS467" s="151"/>
      <c r="AT467" s="151"/>
      <c r="AU467" s="151"/>
      <c r="AV467" s="151"/>
      <c r="AW467" s="151"/>
      <c r="AX467" s="151"/>
      <c r="AY467" s="151"/>
      <c r="AZ467" s="151"/>
      <c r="BA467" s="151"/>
      <c r="BB467" s="151"/>
      <c r="BC467" s="151"/>
      <c r="BD467" s="151"/>
    </row>
    <row r="468" spans="1:56" s="40" customFormat="1" ht="36" x14ac:dyDescent="0.25">
      <c r="A468" s="94" t="s">
        <v>1031</v>
      </c>
      <c r="B468" s="74" t="s">
        <v>1032</v>
      </c>
      <c r="C468" s="103" t="s">
        <v>1033</v>
      </c>
      <c r="D468" s="53" t="s">
        <v>38</v>
      </c>
      <c r="E468" s="54">
        <v>2000</v>
      </c>
      <c r="F468" s="155">
        <v>7.26</v>
      </c>
      <c r="G468" s="156">
        <f t="shared" si="23"/>
        <v>14520</v>
      </c>
      <c r="H468" s="48">
        <f t="shared" si="22"/>
        <v>2.0860717666401542E-3</v>
      </c>
      <c r="I468" s="151"/>
      <c r="J468" s="151"/>
      <c r="K468" s="151"/>
      <c r="L468" s="151"/>
      <c r="M468" s="151"/>
      <c r="N468" s="151"/>
      <c r="O468" s="151"/>
      <c r="P468" s="151"/>
      <c r="Q468" s="151"/>
      <c r="R468" s="151"/>
      <c r="S468" s="151"/>
      <c r="T468" s="151"/>
      <c r="U468" s="151"/>
      <c r="V468" s="151"/>
      <c r="W468" s="151"/>
      <c r="X468" s="151"/>
      <c r="Y468" s="151"/>
      <c r="Z468" s="151"/>
      <c r="AA468" s="151"/>
      <c r="AB468" s="151"/>
      <c r="AC468" s="151"/>
      <c r="AD468" s="151"/>
      <c r="AE468" s="151"/>
      <c r="AF468" s="151"/>
      <c r="AG468" s="151"/>
      <c r="AH468" s="151"/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</row>
    <row r="469" spans="1:56" s="40" customFormat="1" ht="36" x14ac:dyDescent="0.25">
      <c r="A469" s="94" t="s">
        <v>1034</v>
      </c>
      <c r="B469" s="79" t="s">
        <v>642</v>
      </c>
      <c r="C469" s="108" t="s">
        <v>1035</v>
      </c>
      <c r="D469" s="69" t="s">
        <v>38</v>
      </c>
      <c r="E469" s="85">
        <v>100</v>
      </c>
      <c r="F469" s="96">
        <f>65.43/3</f>
        <v>21.810000000000002</v>
      </c>
      <c r="G469" s="156">
        <f t="shared" si="23"/>
        <v>2181</v>
      </c>
      <c r="H469" s="48">
        <f t="shared" si="22"/>
        <v>3.1334177155937853E-4</v>
      </c>
      <c r="I469" s="151"/>
      <c r="J469" s="151"/>
      <c r="K469" s="151"/>
      <c r="L469" s="151"/>
      <c r="M469" s="151"/>
      <c r="N469" s="151"/>
      <c r="O469" s="151"/>
      <c r="P469" s="151"/>
      <c r="Q469" s="151"/>
      <c r="R469" s="151"/>
      <c r="S469" s="151"/>
      <c r="T469" s="151"/>
      <c r="U469" s="151"/>
      <c r="V469" s="151"/>
      <c r="W469" s="151"/>
      <c r="X469" s="151"/>
      <c r="Y469" s="151"/>
      <c r="Z469" s="151"/>
      <c r="AA469" s="151"/>
      <c r="AB469" s="151"/>
      <c r="AC469" s="151"/>
      <c r="AD469" s="151"/>
      <c r="AE469" s="151"/>
      <c r="AF469" s="151"/>
      <c r="AG469" s="151"/>
      <c r="AH469" s="151"/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</row>
    <row r="470" spans="1:56" s="40" customFormat="1" ht="36" customHeight="1" x14ac:dyDescent="0.25">
      <c r="A470" s="94" t="s">
        <v>1036</v>
      </c>
      <c r="B470" s="79" t="s">
        <v>645</v>
      </c>
      <c r="C470" s="108" t="s">
        <v>646</v>
      </c>
      <c r="D470" s="69" t="s">
        <v>38</v>
      </c>
      <c r="E470" s="85">
        <v>100</v>
      </c>
      <c r="F470" s="96">
        <v>32.71</v>
      </c>
      <c r="G470" s="156">
        <f t="shared" si="23"/>
        <v>3271</v>
      </c>
      <c r="H470" s="48">
        <f t="shared" si="22"/>
        <v>4.6994082291184188E-4</v>
      </c>
      <c r="I470" s="151"/>
      <c r="J470" s="151"/>
      <c r="K470" s="151"/>
      <c r="L470" s="151"/>
      <c r="M470" s="151"/>
      <c r="N470" s="151"/>
      <c r="O470" s="151"/>
      <c r="P470" s="151"/>
      <c r="Q470" s="151"/>
      <c r="R470" s="151"/>
      <c r="S470" s="151"/>
      <c r="T470" s="151"/>
      <c r="U470" s="151"/>
      <c r="V470" s="151"/>
      <c r="W470" s="151"/>
      <c r="X470" s="151"/>
      <c r="Y470" s="151"/>
      <c r="Z470" s="151"/>
      <c r="AA470" s="151"/>
      <c r="AB470" s="151"/>
      <c r="AC470" s="151"/>
      <c r="AD470" s="151"/>
      <c r="AE470" s="151"/>
      <c r="AF470" s="151"/>
      <c r="AG470" s="151"/>
      <c r="AH470" s="151"/>
      <c r="AI470" s="151"/>
      <c r="AJ470" s="151"/>
      <c r="AK470" s="151"/>
      <c r="AL470" s="151"/>
      <c r="AM470" s="151"/>
      <c r="AN470" s="151"/>
      <c r="AO470" s="151"/>
      <c r="AP470" s="151"/>
      <c r="AQ470" s="151"/>
      <c r="AR470" s="151"/>
      <c r="AS470" s="151"/>
      <c r="AT470" s="151"/>
      <c r="AU470" s="151"/>
      <c r="AV470" s="151"/>
      <c r="AW470" s="151"/>
      <c r="AX470" s="151"/>
      <c r="AY470" s="151"/>
      <c r="AZ470" s="151"/>
      <c r="BA470" s="151"/>
      <c r="BB470" s="151"/>
      <c r="BC470" s="151"/>
      <c r="BD470" s="151"/>
    </row>
    <row r="471" spans="1:56" s="40" customFormat="1" ht="36" customHeight="1" thickBot="1" x14ac:dyDescent="0.3">
      <c r="A471" s="94" t="s">
        <v>1037</v>
      </c>
      <c r="B471" s="79" t="s">
        <v>648</v>
      </c>
      <c r="C471" s="108" t="str">
        <f>UPPER("Fixação de eletrocalhas com vergalhão Tirante com rosca total ø 1/4x1000mm marvitec ref. 1431 ou similar")</f>
        <v>FIXAÇÃO DE ELETROCALHAS COM VERGALHÃO TIRANTE COM ROSCA TOTAL Ø 1/4X1000MM MARVITEC REF. 1431 OU SIMILAR</v>
      </c>
      <c r="D471" s="69" t="s">
        <v>38</v>
      </c>
      <c r="E471" s="85">
        <v>200</v>
      </c>
      <c r="F471" s="96">
        <v>18.920000000000002</v>
      </c>
      <c r="G471" s="156">
        <f t="shared" si="23"/>
        <v>3784.0000000000005</v>
      </c>
      <c r="H471" s="48">
        <f t="shared" si="22"/>
        <v>5.4364294524561593E-4</v>
      </c>
      <c r="I471" s="151"/>
      <c r="J471" s="151"/>
      <c r="K471" s="151"/>
      <c r="L471" s="151"/>
      <c r="M471" s="151"/>
      <c r="N471" s="151"/>
      <c r="O471" s="151"/>
      <c r="P471" s="151"/>
      <c r="Q471" s="151"/>
      <c r="R471" s="151"/>
      <c r="S471" s="151"/>
      <c r="T471" s="151"/>
      <c r="U471" s="151"/>
      <c r="V471" s="151"/>
      <c r="W471" s="151"/>
      <c r="X471" s="151"/>
      <c r="Y471" s="151"/>
      <c r="Z471" s="151"/>
      <c r="AA471" s="151"/>
      <c r="AB471" s="151"/>
      <c r="AC471" s="151"/>
      <c r="AD471" s="151"/>
      <c r="AE471" s="151"/>
      <c r="AF471" s="151"/>
      <c r="AG471" s="151"/>
      <c r="AH471" s="151"/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</row>
    <row r="472" spans="1:56" s="40" customFormat="1" ht="18.75" thickBot="1" x14ac:dyDescent="0.3">
      <c r="A472" s="42">
        <v>17</v>
      </c>
      <c r="B472" s="90"/>
      <c r="C472" s="71" t="s">
        <v>1038</v>
      </c>
      <c r="D472" s="91"/>
      <c r="E472" s="92"/>
      <c r="F472" s="93"/>
      <c r="G472" s="72">
        <f>SUM(G473:G476)</f>
        <v>37675.199999999997</v>
      </c>
      <c r="H472" s="48">
        <f t="shared" si="22"/>
        <v>5.4127528252425018E-3</v>
      </c>
      <c r="I472" s="151"/>
      <c r="J472" s="151"/>
      <c r="K472" s="151"/>
      <c r="L472" s="151"/>
      <c r="M472" s="151"/>
      <c r="N472" s="151"/>
      <c r="O472" s="151"/>
      <c r="P472" s="151"/>
      <c r="Q472" s="151"/>
      <c r="R472" s="151"/>
      <c r="S472" s="151"/>
      <c r="T472" s="151"/>
      <c r="U472" s="151"/>
      <c r="V472" s="151"/>
      <c r="W472" s="151"/>
      <c r="X472" s="151"/>
      <c r="Y472" s="151"/>
      <c r="Z472" s="151"/>
      <c r="AA472" s="151"/>
      <c r="AB472" s="151"/>
      <c r="AC472" s="151"/>
      <c r="AD472" s="151"/>
      <c r="AE472" s="151"/>
      <c r="AF472" s="151"/>
      <c r="AG472" s="151"/>
      <c r="AH472" s="151"/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</row>
    <row r="473" spans="1:56" s="40" customFormat="1" ht="90" x14ac:dyDescent="0.25">
      <c r="A473" s="50" t="s">
        <v>1039</v>
      </c>
      <c r="B473" s="157" t="s">
        <v>1040</v>
      </c>
      <c r="C473" s="103" t="str">
        <f>UPPER("Fornecimento e Instalação de tubulação em cobre p/ interligação do condensador ao evaporador, inclusive isolamento, alimentação elétrica, conexões e fixações, p/ condicionadores de ar split system até 48.000 BTU.")</f>
        <v>FORNECIMENTO E INSTALAÇÃO DE TUBULAÇÃO EM COBRE P/ INTERLIGAÇÃO DO CONDENSADOR AO EVAPORADOR, INCLUSIVE ISOLAMENTO, ALIMENTAÇÃO ELÉTRICA, CONEXÕES E FIXAÇÕES, P/ CONDICIONADORES DE AR SPLIT SYSTEM ATÉ 48.000 BTU.</v>
      </c>
      <c r="D473" s="53" t="s">
        <v>38</v>
      </c>
      <c r="E473" s="54">
        <v>100</v>
      </c>
      <c r="F473" s="155">
        <v>160.65</v>
      </c>
      <c r="G473" s="56">
        <f>F473*E473</f>
        <v>16065</v>
      </c>
      <c r="H473" s="48">
        <f t="shared" si="22"/>
        <v>2.3080401467681869E-3</v>
      </c>
      <c r="I473" s="151"/>
      <c r="J473" s="151"/>
      <c r="K473" s="151"/>
      <c r="L473" s="151"/>
      <c r="M473" s="151"/>
      <c r="N473" s="151"/>
      <c r="O473" s="151"/>
      <c r="P473" s="151"/>
      <c r="Q473" s="151"/>
      <c r="R473" s="151"/>
      <c r="S473" s="151"/>
      <c r="T473" s="151"/>
      <c r="U473" s="151"/>
      <c r="V473" s="151"/>
      <c r="W473" s="151"/>
      <c r="X473" s="151"/>
      <c r="Y473" s="151"/>
      <c r="Z473" s="151"/>
      <c r="AA473" s="151"/>
      <c r="AB473" s="151"/>
      <c r="AC473" s="151"/>
      <c r="AD473" s="151"/>
      <c r="AE473" s="151"/>
      <c r="AF473" s="151"/>
      <c r="AG473" s="151"/>
      <c r="AH473" s="151"/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</row>
    <row r="474" spans="1:56" s="40" customFormat="1" ht="36" x14ac:dyDescent="0.25">
      <c r="A474" s="50" t="s">
        <v>1041</v>
      </c>
      <c r="B474" s="158" t="s">
        <v>1042</v>
      </c>
      <c r="C474" s="107" t="s">
        <v>1043</v>
      </c>
      <c r="D474" s="53" t="s">
        <v>52</v>
      </c>
      <c r="E474" s="55">
        <v>100</v>
      </c>
      <c r="F474" s="96">
        <v>117.58</v>
      </c>
      <c r="G474" s="56">
        <f>F474*E474</f>
        <v>11758</v>
      </c>
      <c r="H474" s="48">
        <f t="shared" si="22"/>
        <v>1.689258390644279E-3</v>
      </c>
      <c r="I474" s="151"/>
      <c r="J474" s="151"/>
      <c r="K474" s="151"/>
      <c r="L474" s="151"/>
      <c r="M474" s="151"/>
      <c r="N474" s="151"/>
      <c r="O474" s="151"/>
      <c r="P474" s="151"/>
      <c r="Q474" s="151"/>
      <c r="R474" s="151"/>
      <c r="S474" s="151"/>
      <c r="T474" s="151"/>
      <c r="U474" s="151"/>
      <c r="V474" s="151"/>
      <c r="W474" s="151"/>
      <c r="X474" s="151"/>
      <c r="Y474" s="151"/>
      <c r="Z474" s="151"/>
      <c r="AA474" s="151"/>
      <c r="AB474" s="151"/>
      <c r="AC474" s="151"/>
      <c r="AD474" s="151"/>
      <c r="AE474" s="151"/>
      <c r="AF474" s="151"/>
      <c r="AG474" s="151"/>
      <c r="AH474" s="151"/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</row>
    <row r="475" spans="1:56" s="40" customFormat="1" ht="18" x14ac:dyDescent="0.25">
      <c r="A475" s="50" t="s">
        <v>1044</v>
      </c>
      <c r="B475" s="158" t="s">
        <v>1045</v>
      </c>
      <c r="C475" s="107" t="s">
        <v>1046</v>
      </c>
      <c r="D475" s="69" t="s">
        <v>29</v>
      </c>
      <c r="E475" s="55">
        <v>100</v>
      </c>
      <c r="F475" s="96">
        <v>53.65</v>
      </c>
      <c r="G475" s="56">
        <f>F475*E475</f>
        <v>5365</v>
      </c>
      <c r="H475" s="48">
        <f t="shared" si="22"/>
        <v>7.7078340413391365E-4</v>
      </c>
      <c r="I475" s="151"/>
      <c r="J475" s="151"/>
      <c r="K475" s="151"/>
      <c r="L475" s="151"/>
      <c r="M475" s="151"/>
      <c r="N475" s="151"/>
      <c r="O475" s="151"/>
      <c r="P475" s="151"/>
      <c r="Q475" s="151"/>
      <c r="R475" s="151"/>
      <c r="S475" s="151"/>
      <c r="T475" s="151"/>
      <c r="U475" s="151"/>
      <c r="V475" s="151"/>
      <c r="W475" s="151"/>
      <c r="X475" s="151"/>
      <c r="Y475" s="151"/>
      <c r="Z475" s="151"/>
      <c r="AA475" s="151"/>
      <c r="AB475" s="151"/>
      <c r="AC475" s="151"/>
      <c r="AD475" s="151"/>
      <c r="AE475" s="151"/>
      <c r="AF475" s="151"/>
      <c r="AG475" s="151"/>
      <c r="AH475" s="151"/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</row>
    <row r="476" spans="1:56" s="40" customFormat="1" ht="36.75" thickBot="1" x14ac:dyDescent="0.3">
      <c r="A476" s="50" t="s">
        <v>1047</v>
      </c>
      <c r="B476" s="79" t="s">
        <v>1048</v>
      </c>
      <c r="C476" s="108" t="str">
        <f>UPPER("Exaustor para banheiro, bivolt, ref.: C 80 A, da Ventokit ou similar - fornecimento e instalação")</f>
        <v>EXAUSTOR PARA BANHEIRO, BIVOLT, REF.: C 80 A, DA VENTOKIT OU SIMILAR - FORNECIMENTO E INSTALAÇÃO</v>
      </c>
      <c r="D476" s="69" t="s">
        <v>52</v>
      </c>
      <c r="E476" s="55">
        <v>20</v>
      </c>
      <c r="F476" s="155">
        <v>224.36</v>
      </c>
      <c r="G476" s="56">
        <f>F476*E476</f>
        <v>4487.2000000000007</v>
      </c>
      <c r="H476" s="48">
        <f t="shared" si="22"/>
        <v>6.4467088369612264E-4</v>
      </c>
      <c r="I476" s="151"/>
      <c r="J476" s="151"/>
      <c r="K476" s="151"/>
      <c r="L476" s="151"/>
      <c r="M476" s="151"/>
      <c r="N476" s="151"/>
      <c r="O476" s="151"/>
      <c r="P476" s="151"/>
      <c r="Q476" s="151"/>
      <c r="R476" s="151"/>
      <c r="S476" s="151"/>
      <c r="T476" s="151"/>
      <c r="U476" s="151"/>
      <c r="V476" s="151"/>
      <c r="W476" s="151"/>
      <c r="X476" s="151"/>
      <c r="Y476" s="151"/>
      <c r="Z476" s="151"/>
      <c r="AA476" s="151"/>
      <c r="AB476" s="151"/>
      <c r="AC476" s="151"/>
      <c r="AD476" s="151"/>
      <c r="AE476" s="151"/>
      <c r="AF476" s="151"/>
      <c r="AG476" s="151"/>
      <c r="AH476" s="151"/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</row>
    <row r="477" spans="1:56" s="40" customFormat="1" ht="18.75" thickBot="1" x14ac:dyDescent="0.3">
      <c r="A477" s="159">
        <v>18</v>
      </c>
      <c r="B477" s="90"/>
      <c r="C477" s="71" t="s">
        <v>1049</v>
      </c>
      <c r="D477" s="91"/>
      <c r="E477" s="92"/>
      <c r="F477" s="93"/>
      <c r="G477" s="72">
        <f>SUM(G478:G487)</f>
        <v>464556.1</v>
      </c>
      <c r="H477" s="48">
        <f t="shared" si="22"/>
        <v>6.6742242715596423E-2</v>
      </c>
      <c r="I477" s="151"/>
      <c r="J477" s="151"/>
      <c r="K477" s="151"/>
      <c r="L477" s="151"/>
      <c r="M477" s="151"/>
      <c r="N477" s="151"/>
      <c r="O477" s="151"/>
      <c r="P477" s="151"/>
      <c r="Q477" s="151"/>
      <c r="R477" s="151"/>
      <c r="S477" s="151"/>
      <c r="T477" s="151"/>
      <c r="U477" s="151"/>
      <c r="V477" s="151"/>
      <c r="W477" s="151"/>
      <c r="X477" s="151"/>
      <c r="Y477" s="151"/>
      <c r="Z477" s="151"/>
      <c r="AA477" s="151"/>
      <c r="AB477" s="151"/>
      <c r="AC477" s="151"/>
      <c r="AD477" s="151"/>
      <c r="AE477" s="151"/>
      <c r="AF477" s="151"/>
      <c r="AG477" s="151"/>
      <c r="AH477" s="151"/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</row>
    <row r="478" spans="1:56" s="40" customFormat="1" ht="36" x14ac:dyDescent="0.25">
      <c r="A478" s="50" t="s">
        <v>1050</v>
      </c>
      <c r="B478" s="74" t="s">
        <v>1051</v>
      </c>
      <c r="C478" s="104" t="str">
        <f>UPPER("Impermeabilizaçao com vedapren branco ou similar, para lajes, 06 demaõs")</f>
        <v>IMPERMEABILIZAÇAO COM VEDAPREN BRANCO OU SIMILAR, PARA LAJES, 06 DEMAÕS</v>
      </c>
      <c r="D478" s="69" t="s">
        <v>29</v>
      </c>
      <c r="E478" s="85">
        <v>3000</v>
      </c>
      <c r="F478" s="85">
        <v>42.37</v>
      </c>
      <c r="G478" s="56">
        <f>F478*E478</f>
        <v>127109.99999999999</v>
      </c>
      <c r="H478" s="48">
        <f t="shared" si="22"/>
        <v>1.8261748089368455E-2</v>
      </c>
      <c r="I478" s="151"/>
      <c r="J478" s="151"/>
      <c r="K478" s="151"/>
      <c r="L478" s="151"/>
      <c r="M478" s="151"/>
      <c r="N478" s="151"/>
      <c r="O478" s="151"/>
      <c r="P478" s="151"/>
      <c r="Q478" s="151"/>
      <c r="R478" s="151"/>
      <c r="S478" s="151"/>
      <c r="T478" s="151"/>
      <c r="U478" s="151"/>
      <c r="V478" s="151"/>
      <c r="W478" s="151"/>
      <c r="X478" s="151"/>
      <c r="Y478" s="151"/>
      <c r="Z478" s="151"/>
      <c r="AA478" s="151"/>
      <c r="AB478" s="151"/>
      <c r="AC478" s="151"/>
      <c r="AD478" s="151"/>
      <c r="AE478" s="151"/>
      <c r="AF478" s="151"/>
      <c r="AG478" s="151"/>
      <c r="AH478" s="151"/>
      <c r="AI478" s="151"/>
      <c r="AJ478" s="151"/>
      <c r="AK478" s="151"/>
      <c r="AL478" s="151"/>
      <c r="AM478" s="151"/>
      <c r="AN478" s="151"/>
      <c r="AO478" s="151"/>
      <c r="AP478" s="151"/>
      <c r="AQ478" s="151"/>
      <c r="AR478" s="151"/>
      <c r="AS478" s="151"/>
      <c r="AT478" s="151"/>
      <c r="AU478" s="151"/>
      <c r="AV478" s="151"/>
      <c r="AW478" s="151"/>
      <c r="AX478" s="151"/>
      <c r="AY478" s="151"/>
      <c r="AZ478" s="151"/>
      <c r="BA478" s="151"/>
      <c r="BB478" s="151"/>
      <c r="BC478" s="151"/>
      <c r="BD478" s="151"/>
    </row>
    <row r="479" spans="1:56" s="40" customFormat="1" ht="36" x14ac:dyDescent="0.25">
      <c r="A479" s="50" t="s">
        <v>1052</v>
      </c>
      <c r="B479" s="74" t="s">
        <v>1053</v>
      </c>
      <c r="C479" s="104" t="str">
        <f>UPPER("Impermeabilizaçao com vedapren parede ou similar, 03 demaõs")</f>
        <v>IMPERMEABILIZAÇAO COM VEDAPREN PAREDE OU SIMILAR, 03 DEMAÕS</v>
      </c>
      <c r="D479" s="69" t="s">
        <v>29</v>
      </c>
      <c r="E479" s="85">
        <v>1000</v>
      </c>
      <c r="F479" s="85">
        <v>22.85</v>
      </c>
      <c r="G479" s="56">
        <f t="shared" ref="G479:G487" si="24">F479*E479</f>
        <v>22850</v>
      </c>
      <c r="H479" s="48">
        <f t="shared" si="22"/>
        <v>3.2828333242236585E-3</v>
      </c>
      <c r="I479" s="151"/>
      <c r="J479" s="151"/>
      <c r="K479" s="151"/>
      <c r="L479" s="151"/>
      <c r="M479" s="151"/>
      <c r="N479" s="151"/>
      <c r="O479" s="151"/>
      <c r="P479" s="151"/>
      <c r="Q479" s="151"/>
      <c r="R479" s="151"/>
      <c r="S479" s="151"/>
      <c r="T479" s="151"/>
      <c r="U479" s="151"/>
      <c r="V479" s="151"/>
      <c r="W479" s="151"/>
      <c r="X479" s="151"/>
      <c r="Y479" s="151"/>
      <c r="Z479" s="151"/>
      <c r="AA479" s="151"/>
      <c r="AB479" s="151"/>
      <c r="AC479" s="151"/>
      <c r="AD479" s="151"/>
      <c r="AE479" s="151"/>
      <c r="AF479" s="151"/>
      <c r="AG479" s="151"/>
      <c r="AH479" s="151"/>
      <c r="AI479" s="151"/>
      <c r="AJ479" s="151"/>
      <c r="AK479" s="151"/>
      <c r="AL479" s="151"/>
      <c r="AM479" s="151"/>
      <c r="AN479" s="151"/>
      <c r="AO479" s="151"/>
      <c r="AP479" s="151"/>
      <c r="AQ479" s="151"/>
      <c r="AR479" s="151"/>
      <c r="AS479" s="151"/>
      <c r="AT479" s="151"/>
      <c r="AU479" s="151"/>
      <c r="AV479" s="151"/>
      <c r="AW479" s="151"/>
      <c r="AX479" s="151"/>
      <c r="AY479" s="151"/>
      <c r="AZ479" s="151"/>
      <c r="BA479" s="151"/>
      <c r="BB479" s="151"/>
      <c r="BC479" s="151"/>
      <c r="BD479" s="151"/>
    </row>
    <row r="480" spans="1:56" s="40" customFormat="1" ht="36" x14ac:dyDescent="0.25">
      <c r="A480" s="50" t="s">
        <v>1054</v>
      </c>
      <c r="B480" s="74" t="s">
        <v>1055</v>
      </c>
      <c r="C480" s="104" t="s">
        <v>1056</v>
      </c>
      <c r="D480" s="69" t="s">
        <v>29</v>
      </c>
      <c r="E480" s="85">
        <v>2000</v>
      </c>
      <c r="F480" s="85">
        <v>80.39</v>
      </c>
      <c r="G480" s="56">
        <f t="shared" si="24"/>
        <v>160780</v>
      </c>
      <c r="H480" s="48">
        <f t="shared" si="22"/>
        <v>2.3099078418760605E-2</v>
      </c>
      <c r="I480" s="151"/>
      <c r="J480" s="151"/>
      <c r="K480" s="151"/>
      <c r="L480" s="151"/>
      <c r="M480" s="151"/>
      <c r="N480" s="151"/>
      <c r="O480" s="151"/>
      <c r="P480" s="151"/>
      <c r="Q480" s="151"/>
      <c r="R480" s="151"/>
      <c r="S480" s="151"/>
      <c r="T480" s="151"/>
      <c r="U480" s="151"/>
      <c r="V480" s="151"/>
      <c r="W480" s="151"/>
      <c r="X480" s="151"/>
      <c r="Y480" s="151"/>
      <c r="Z480" s="151"/>
      <c r="AA480" s="151"/>
      <c r="AB480" s="151"/>
      <c r="AC480" s="151"/>
      <c r="AD480" s="151"/>
      <c r="AE480" s="151"/>
      <c r="AF480" s="151"/>
      <c r="AG480" s="151"/>
      <c r="AH480" s="151"/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</row>
    <row r="481" spans="1:56" s="40" customFormat="1" ht="90" x14ac:dyDescent="0.25">
      <c r="A481" s="50" t="s">
        <v>1057</v>
      </c>
      <c r="B481" s="74" t="s">
        <v>1058</v>
      </c>
      <c r="C481" s="104" t="str">
        <f>UPPER("Impermeabilização semi-flexível com Sika Top 107 bi-componente, cor cinza, 03 demãos cruzadas aplicado à trincha para aplicação em paredes enterradas, subsolos, caixas d'agua, áreas frias e em contato com esgoto")</f>
        <v>IMPERMEABILIZAÇÃO SEMI-FLEXÍVEL COM SIKA TOP 107 BI-COMPONENTE, COR CINZA, 03 DEMÃOS CRUZADAS APLICADO À TRINCHA PARA APLICAÇÃO EM PAREDES ENTERRADAS, SUBSOLOS, CAIXAS D'AGUA, ÁREAS FRIAS E EM CONTATO COM ESGOTO</v>
      </c>
      <c r="D481" s="69" t="s">
        <v>29</v>
      </c>
      <c r="E481" s="85">
        <v>1000</v>
      </c>
      <c r="F481" s="85">
        <v>35.74</v>
      </c>
      <c r="G481" s="56">
        <f t="shared" si="24"/>
        <v>35740</v>
      </c>
      <c r="H481" s="48">
        <f t="shared" si="22"/>
        <v>5.1347248581073762E-3</v>
      </c>
      <c r="I481" s="151"/>
      <c r="J481" s="151"/>
      <c r="K481" s="151"/>
      <c r="L481" s="151"/>
      <c r="M481" s="151"/>
      <c r="N481" s="151"/>
      <c r="O481" s="151"/>
      <c r="P481" s="151"/>
      <c r="Q481" s="151"/>
      <c r="R481" s="151"/>
      <c r="S481" s="151"/>
      <c r="T481" s="151"/>
      <c r="U481" s="151"/>
      <c r="V481" s="151"/>
      <c r="W481" s="151"/>
      <c r="X481" s="151"/>
      <c r="Y481" s="151"/>
      <c r="Z481" s="151"/>
      <c r="AA481" s="151"/>
      <c r="AB481" s="151"/>
      <c r="AC481" s="151"/>
      <c r="AD481" s="151"/>
      <c r="AE481" s="151"/>
      <c r="AF481" s="151"/>
      <c r="AG481" s="151"/>
      <c r="AH481" s="151"/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</row>
    <row r="482" spans="1:56" s="40" customFormat="1" ht="54" x14ac:dyDescent="0.25">
      <c r="A482" s="50" t="s">
        <v>1059</v>
      </c>
      <c r="B482" s="82">
        <v>87757</v>
      </c>
      <c r="C482" s="107" t="s">
        <v>1060</v>
      </c>
      <c r="D482" s="69" t="s">
        <v>29</v>
      </c>
      <c r="E482" s="55">
        <v>1000</v>
      </c>
      <c r="F482" s="55">
        <v>45.77</v>
      </c>
      <c r="G482" s="56">
        <f t="shared" si="24"/>
        <v>45770</v>
      </c>
      <c r="H482" s="48">
        <f t="shared" si="22"/>
        <v>6.5757234682589432E-3</v>
      </c>
      <c r="I482" s="151"/>
      <c r="J482" s="151"/>
      <c r="K482" s="151"/>
      <c r="L482" s="151"/>
      <c r="M482" s="151"/>
      <c r="N482" s="151"/>
      <c r="O482" s="151"/>
      <c r="P482" s="151"/>
      <c r="Q482" s="151"/>
      <c r="R482" s="151"/>
      <c r="S482" s="151"/>
      <c r="T482" s="151"/>
      <c r="U482" s="151"/>
      <c r="V482" s="151"/>
      <c r="W482" s="151"/>
      <c r="X482" s="151"/>
      <c r="Y482" s="151"/>
      <c r="Z482" s="151"/>
      <c r="AA482" s="151"/>
      <c r="AB482" s="151"/>
      <c r="AC482" s="151"/>
      <c r="AD482" s="151"/>
      <c r="AE482" s="151"/>
      <c r="AF482" s="151"/>
      <c r="AG482" s="151"/>
      <c r="AH482" s="151"/>
      <c r="AI482" s="151"/>
      <c r="AJ482" s="151"/>
      <c r="AK482" s="151"/>
      <c r="AL482" s="151"/>
      <c r="AM482" s="151"/>
      <c r="AN482" s="151"/>
      <c r="AO482" s="151"/>
      <c r="AP482" s="151"/>
      <c r="AQ482" s="151"/>
      <c r="AR482" s="151"/>
      <c r="AS482" s="151"/>
      <c r="AT482" s="151"/>
      <c r="AU482" s="151"/>
      <c r="AV482" s="151"/>
      <c r="AW482" s="151"/>
      <c r="AX482" s="151"/>
      <c r="AY482" s="151"/>
      <c r="AZ482" s="151"/>
      <c r="BA482" s="151"/>
      <c r="BB482" s="151"/>
      <c r="BC482" s="151"/>
      <c r="BD482" s="151"/>
    </row>
    <row r="483" spans="1:56" s="40" customFormat="1" ht="90" x14ac:dyDescent="0.25">
      <c r="A483" s="50" t="s">
        <v>1061</v>
      </c>
      <c r="B483" s="82" t="s">
        <v>1062</v>
      </c>
      <c r="C483" s="107" t="str">
        <f>UPPER("Junta de dilatação (altura total do pavimento) com preenchimento parcial em isopor h=15cm e preenchimento do complemento com mastique de poliuretano seção 2x2cm, MBT, Basf, ou similar, para pavimentos em concreto")</f>
        <v>JUNTA DE DILATAÇÃO (ALTURA TOTAL DO PAVIMENTO) COM PREENCHIMENTO PARCIAL EM ISOPOR H=15CM E PREENCHIMENTO DO COMPLEMENTO COM MASTIQUE DE POLIURETANO SEÇÃO 2X2CM, MBT, BASF, OU SIMILAR, PARA PAVIMENTOS EM CONCRETO</v>
      </c>
      <c r="D483" s="69" t="s">
        <v>38</v>
      </c>
      <c r="E483" s="55">
        <f>500+40</f>
        <v>540</v>
      </c>
      <c r="F483" s="55">
        <v>48.84</v>
      </c>
      <c r="G483" s="56">
        <f t="shared" si="24"/>
        <v>26373.600000000002</v>
      </c>
      <c r="H483" s="48">
        <f t="shared" si="22"/>
        <v>3.7890648997700258E-3</v>
      </c>
      <c r="I483" s="151"/>
      <c r="J483" s="151"/>
      <c r="K483" s="151"/>
      <c r="L483" s="151"/>
      <c r="M483" s="151"/>
      <c r="N483" s="151"/>
      <c r="O483" s="151"/>
      <c r="P483" s="151"/>
      <c r="Q483" s="151"/>
      <c r="R483" s="151"/>
      <c r="S483" s="151"/>
      <c r="T483" s="151"/>
      <c r="U483" s="151"/>
      <c r="V483" s="151"/>
      <c r="W483" s="151"/>
      <c r="X483" s="151"/>
      <c r="Y483" s="151"/>
      <c r="Z483" s="151"/>
      <c r="AA483" s="151"/>
      <c r="AB483" s="151"/>
      <c r="AC483" s="151"/>
      <c r="AD483" s="151"/>
      <c r="AE483" s="151"/>
      <c r="AF483" s="151"/>
      <c r="AG483" s="151"/>
      <c r="AH483" s="151"/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</row>
    <row r="484" spans="1:56" s="40" customFormat="1" ht="36" x14ac:dyDescent="0.25">
      <c r="A484" s="50" t="s">
        <v>1063</v>
      </c>
      <c r="B484" s="83">
        <v>55960</v>
      </c>
      <c r="C484" s="104" t="s">
        <v>1064</v>
      </c>
      <c r="D484" s="119" t="s">
        <v>29</v>
      </c>
      <c r="E484" s="85">
        <v>6500</v>
      </c>
      <c r="F484" s="85">
        <v>5.26</v>
      </c>
      <c r="G484" s="56">
        <f t="shared" si="24"/>
        <v>34190</v>
      </c>
      <c r="H484" s="48">
        <f t="shared" si="22"/>
        <v>4.912038133707085E-3</v>
      </c>
      <c r="I484" s="151"/>
      <c r="J484" s="151"/>
      <c r="K484" s="151"/>
      <c r="L484" s="151"/>
      <c r="M484" s="151"/>
      <c r="N484" s="151"/>
      <c r="O484" s="151"/>
      <c r="P484" s="151"/>
      <c r="Q484" s="151"/>
      <c r="R484" s="151"/>
      <c r="S484" s="151"/>
      <c r="T484" s="151"/>
      <c r="U484" s="151"/>
      <c r="V484" s="151"/>
      <c r="W484" s="151"/>
      <c r="X484" s="151"/>
      <c r="Y484" s="151"/>
      <c r="Z484" s="151"/>
      <c r="AA484" s="151"/>
      <c r="AB484" s="151"/>
      <c r="AC484" s="151"/>
      <c r="AD484" s="151"/>
      <c r="AE484" s="151"/>
      <c r="AF484" s="151"/>
      <c r="AG484" s="151"/>
      <c r="AH484" s="151"/>
      <c r="AI484" s="151"/>
      <c r="AJ484" s="151"/>
      <c r="AK484" s="151"/>
      <c r="AL484" s="151"/>
      <c r="AM484" s="151"/>
      <c r="AN484" s="151"/>
      <c r="AO484" s="151"/>
      <c r="AP484" s="151"/>
      <c r="AQ484" s="151"/>
      <c r="AR484" s="151"/>
      <c r="AS484" s="151"/>
      <c r="AT484" s="151"/>
      <c r="AU484" s="151"/>
      <c r="AV484" s="151"/>
      <c r="AW484" s="151"/>
      <c r="AX484" s="151"/>
      <c r="AY484" s="151"/>
      <c r="AZ484" s="151"/>
      <c r="BA484" s="151"/>
      <c r="BB484" s="151"/>
      <c r="BC484" s="151"/>
      <c r="BD484" s="151"/>
    </row>
    <row r="485" spans="1:56" s="40" customFormat="1" ht="18" x14ac:dyDescent="0.25">
      <c r="A485" s="50" t="s">
        <v>1065</v>
      </c>
      <c r="B485" s="83" t="s">
        <v>1066</v>
      </c>
      <c r="C485" s="104" t="str">
        <f>UPPER("Aplicação de primer universal - 2 demãos")</f>
        <v>APLICAÇÃO DE PRIMER UNIVERSAL - 2 DEMÃOS</v>
      </c>
      <c r="D485" s="119" t="s">
        <v>29</v>
      </c>
      <c r="E485" s="85">
        <v>100</v>
      </c>
      <c r="F485" s="85">
        <v>13.44</v>
      </c>
      <c r="G485" s="56">
        <f t="shared" si="24"/>
        <v>1344</v>
      </c>
      <c r="H485" s="48">
        <f t="shared" si="22"/>
        <v>1.9309094038322087E-4</v>
      </c>
      <c r="I485" s="151"/>
      <c r="J485" s="151"/>
      <c r="K485" s="151"/>
      <c r="L485" s="151"/>
      <c r="M485" s="151"/>
      <c r="N485" s="151"/>
      <c r="O485" s="151"/>
      <c r="P485" s="151"/>
      <c r="Q485" s="151"/>
      <c r="R485" s="151"/>
      <c r="S485" s="151"/>
      <c r="T485" s="151"/>
      <c r="U485" s="151"/>
      <c r="V485" s="151"/>
      <c r="W485" s="151"/>
      <c r="X485" s="151"/>
      <c r="Y485" s="151"/>
      <c r="Z485" s="151"/>
      <c r="AA485" s="151"/>
      <c r="AB485" s="151"/>
      <c r="AC485" s="151"/>
      <c r="AD485" s="151"/>
      <c r="AE485" s="151"/>
      <c r="AF485" s="151"/>
      <c r="AG485" s="151"/>
      <c r="AH485" s="151"/>
      <c r="AI485" s="151"/>
      <c r="AJ485" s="151"/>
      <c r="AK485" s="151"/>
      <c r="AL485" s="151"/>
      <c r="AM485" s="151"/>
      <c r="AN485" s="151"/>
      <c r="AO485" s="151"/>
      <c r="AP485" s="151"/>
      <c r="AQ485" s="151"/>
      <c r="AR485" s="151"/>
      <c r="AS485" s="151"/>
      <c r="AT485" s="151"/>
      <c r="AU485" s="151"/>
      <c r="AV485" s="151"/>
      <c r="AW485" s="151"/>
      <c r="AX485" s="151"/>
      <c r="AY485" s="151"/>
      <c r="AZ485" s="151"/>
      <c r="BA485" s="151"/>
      <c r="BB485" s="151"/>
      <c r="BC485" s="151"/>
      <c r="BD485" s="151"/>
    </row>
    <row r="486" spans="1:56" s="40" customFormat="1" ht="54" x14ac:dyDescent="0.25">
      <c r="A486" s="50" t="s">
        <v>1067</v>
      </c>
      <c r="B486" s="83" t="s">
        <v>1068</v>
      </c>
      <c r="C486" s="104" t="str">
        <f>UPPER("Impermeabilização c/ manta asfáltica aluminizada 3mm, estruturada com não-tecido de poliéster, inclusive aplicação de 1 demão de primer")</f>
        <v>IMPERMEABILIZAÇÃO C/ MANTA ASFÁLTICA ALUMINIZADA 3MM, ESTRUTURADA COM NÃO-TECIDO DE POLIÉSTER, INCLUSIVE APLICAÇÃO DE 1 DEMÃO DE PRIMER</v>
      </c>
      <c r="D486" s="119" t="s">
        <v>29</v>
      </c>
      <c r="E486" s="85">
        <v>50</v>
      </c>
      <c r="F486" s="85">
        <v>77.67</v>
      </c>
      <c r="G486" s="56">
        <f t="shared" si="24"/>
        <v>3883.5</v>
      </c>
      <c r="H486" s="48">
        <f t="shared" si="22"/>
        <v>5.5793799626357012E-4</v>
      </c>
      <c r="I486" s="151"/>
      <c r="J486" s="151"/>
      <c r="K486" s="151"/>
      <c r="L486" s="151"/>
      <c r="M486" s="151"/>
      <c r="N486" s="151"/>
      <c r="O486" s="151"/>
      <c r="P486" s="151"/>
      <c r="Q486" s="151"/>
      <c r="R486" s="151"/>
      <c r="S486" s="151"/>
      <c r="T486" s="151"/>
      <c r="U486" s="151"/>
      <c r="V486" s="151"/>
      <c r="W486" s="151"/>
      <c r="X486" s="151"/>
      <c r="Y486" s="151"/>
      <c r="Z486" s="151"/>
      <c r="AA486" s="151"/>
      <c r="AB486" s="151"/>
      <c r="AC486" s="151"/>
      <c r="AD486" s="151"/>
      <c r="AE486" s="151"/>
      <c r="AF486" s="151"/>
      <c r="AG486" s="151"/>
      <c r="AH486" s="151"/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</row>
    <row r="487" spans="1:56" s="40" customFormat="1" ht="54.75" thickBot="1" x14ac:dyDescent="0.3">
      <c r="A487" s="50" t="s">
        <v>1069</v>
      </c>
      <c r="B487" s="83" t="s">
        <v>1070</v>
      </c>
      <c r="C487" s="104" t="s">
        <v>1071</v>
      </c>
      <c r="D487" s="119" t="s">
        <v>148</v>
      </c>
      <c r="E487" s="85">
        <v>500</v>
      </c>
      <c r="F487" s="85">
        <v>13.03</v>
      </c>
      <c r="G487" s="56">
        <f t="shared" si="24"/>
        <v>6515</v>
      </c>
      <c r="H487" s="48">
        <f t="shared" si="22"/>
        <v>9.3600258675348511E-4</v>
      </c>
      <c r="I487" s="151"/>
      <c r="J487" s="151"/>
      <c r="K487" s="151"/>
      <c r="L487" s="151"/>
      <c r="M487" s="151"/>
      <c r="N487" s="151"/>
      <c r="O487" s="151"/>
      <c r="P487" s="151"/>
      <c r="Q487" s="151"/>
      <c r="R487" s="151"/>
      <c r="S487" s="151"/>
      <c r="T487" s="151"/>
      <c r="U487" s="151"/>
      <c r="V487" s="151"/>
      <c r="W487" s="151"/>
      <c r="X487" s="151"/>
      <c r="Y487" s="151"/>
      <c r="Z487" s="151"/>
      <c r="AA487" s="151"/>
      <c r="AB487" s="151"/>
      <c r="AC487" s="151"/>
      <c r="AD487" s="151"/>
      <c r="AE487" s="151"/>
      <c r="AF487" s="151"/>
      <c r="AG487" s="151"/>
      <c r="AH487" s="151"/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</row>
    <row r="488" spans="1:56" s="40" customFormat="1" ht="18.75" thickBot="1" x14ac:dyDescent="0.3">
      <c r="A488" s="42">
        <v>19</v>
      </c>
      <c r="B488" s="90"/>
      <c r="C488" s="71" t="s">
        <v>1072</v>
      </c>
      <c r="D488" s="91"/>
      <c r="E488" s="92"/>
      <c r="F488" s="93"/>
      <c r="G488" s="72">
        <f>SUM(G489:G499)</f>
        <v>72271.698879999996</v>
      </c>
      <c r="H488" s="48">
        <f t="shared" si="22"/>
        <v>1.0383192187375127E-2</v>
      </c>
      <c r="I488" s="151"/>
      <c r="J488" s="151"/>
      <c r="K488" s="151"/>
      <c r="L488" s="151"/>
      <c r="M488" s="151"/>
      <c r="N488" s="151"/>
      <c r="O488" s="151"/>
      <c r="P488" s="151"/>
      <c r="Q488" s="151"/>
      <c r="R488" s="151"/>
      <c r="S488" s="151"/>
      <c r="T488" s="151"/>
      <c r="U488" s="151"/>
      <c r="V488" s="151"/>
      <c r="W488" s="151"/>
      <c r="X488" s="151"/>
      <c r="Y488" s="151"/>
      <c r="Z488" s="151"/>
      <c r="AA488" s="151"/>
      <c r="AB488" s="151"/>
      <c r="AC488" s="151"/>
      <c r="AD488" s="151"/>
      <c r="AE488" s="151"/>
      <c r="AF488" s="151"/>
      <c r="AG488" s="151"/>
      <c r="AH488" s="151"/>
      <c r="AI488" s="151"/>
      <c r="AJ488" s="151"/>
      <c r="AK488" s="151"/>
      <c r="AL488" s="151"/>
      <c r="AM488" s="151"/>
      <c r="AN488" s="151"/>
      <c r="AO488" s="151"/>
      <c r="AP488" s="151"/>
      <c r="AQ488" s="151"/>
      <c r="AR488" s="151"/>
      <c r="AS488" s="151"/>
      <c r="AT488" s="151"/>
      <c r="AU488" s="151"/>
      <c r="AV488" s="151"/>
      <c r="AW488" s="151"/>
      <c r="AX488" s="151"/>
      <c r="AY488" s="151"/>
      <c r="AZ488" s="151"/>
      <c r="BA488" s="151"/>
      <c r="BB488" s="151"/>
      <c r="BC488" s="151"/>
      <c r="BD488" s="151"/>
    </row>
    <row r="489" spans="1:56" s="40" customFormat="1" ht="36" x14ac:dyDescent="0.25">
      <c r="A489" s="94" t="s">
        <v>1073</v>
      </c>
      <c r="B489" s="74">
        <v>20193</v>
      </c>
      <c r="C489" s="52" t="s">
        <v>1074</v>
      </c>
      <c r="D489" s="119" t="s">
        <v>1075</v>
      </c>
      <c r="E489" s="54">
        <f>50*12</f>
        <v>600</v>
      </c>
      <c r="F489" s="54">
        <v>3.99</v>
      </c>
      <c r="G489" s="124">
        <f t="shared" ref="G489:G499" si="25">F489*E489</f>
        <v>2394</v>
      </c>
      <c r="H489" s="48">
        <f t="shared" si="22"/>
        <v>3.4394323755761218E-4</v>
      </c>
      <c r="I489" s="151"/>
      <c r="J489" s="151"/>
      <c r="K489" s="151"/>
      <c r="L489" s="151"/>
      <c r="M489" s="151"/>
      <c r="N489" s="151"/>
      <c r="O489" s="151"/>
      <c r="P489" s="151"/>
      <c r="Q489" s="151"/>
      <c r="R489" s="151"/>
      <c r="S489" s="151"/>
      <c r="T489" s="151"/>
      <c r="U489" s="151"/>
      <c r="V489" s="151"/>
      <c r="W489" s="151"/>
      <c r="X489" s="151"/>
      <c r="Y489" s="151"/>
      <c r="Z489" s="151"/>
      <c r="AA489" s="151"/>
      <c r="AB489" s="151"/>
      <c r="AC489" s="151"/>
      <c r="AD489" s="151"/>
      <c r="AE489" s="151"/>
      <c r="AF489" s="151"/>
      <c r="AG489" s="151"/>
      <c r="AH489" s="151"/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</row>
    <row r="490" spans="1:56" s="40" customFormat="1" ht="36" x14ac:dyDescent="0.25">
      <c r="A490" s="94" t="s">
        <v>1076</v>
      </c>
      <c r="B490" s="74">
        <v>97063</v>
      </c>
      <c r="C490" s="52" t="s">
        <v>1077</v>
      </c>
      <c r="D490" s="119" t="s">
        <v>29</v>
      </c>
      <c r="E490" s="54">
        <v>600</v>
      </c>
      <c r="F490" s="54">
        <v>12.08</v>
      </c>
      <c r="G490" s="124">
        <f t="shared" si="25"/>
        <v>7248</v>
      </c>
      <c r="H490" s="48">
        <f t="shared" si="22"/>
        <v>1.0413118570666553E-3</v>
      </c>
      <c r="I490" s="151"/>
      <c r="J490" s="151"/>
      <c r="K490" s="151"/>
      <c r="L490" s="151"/>
      <c r="M490" s="151"/>
      <c r="N490" s="151"/>
      <c r="O490" s="151"/>
      <c r="P490" s="151"/>
      <c r="Q490" s="151"/>
      <c r="R490" s="151"/>
      <c r="S490" s="151"/>
      <c r="T490" s="151"/>
      <c r="U490" s="151"/>
      <c r="V490" s="151"/>
      <c r="W490" s="151"/>
      <c r="X490" s="151"/>
      <c r="Y490" s="151"/>
      <c r="Z490" s="151"/>
      <c r="AA490" s="151"/>
      <c r="AB490" s="151"/>
      <c r="AC490" s="151"/>
      <c r="AD490" s="151"/>
      <c r="AE490" s="151"/>
      <c r="AF490" s="151"/>
      <c r="AG490" s="151"/>
      <c r="AH490" s="151"/>
      <c r="AI490" s="151"/>
      <c r="AJ490" s="151"/>
      <c r="AK490" s="151"/>
      <c r="AL490" s="151"/>
      <c r="AM490" s="151"/>
      <c r="AN490" s="151"/>
      <c r="AO490" s="151"/>
      <c r="AP490" s="151"/>
      <c r="AQ490" s="151"/>
      <c r="AR490" s="151"/>
      <c r="AS490" s="151"/>
      <c r="AT490" s="151"/>
      <c r="AU490" s="151"/>
      <c r="AV490" s="151"/>
      <c r="AW490" s="151"/>
      <c r="AX490" s="151"/>
      <c r="AY490" s="151"/>
      <c r="AZ490" s="151"/>
      <c r="BA490" s="151"/>
      <c r="BB490" s="151"/>
      <c r="BC490" s="151"/>
      <c r="BD490" s="151"/>
    </row>
    <row r="491" spans="1:56" s="40" customFormat="1" ht="18" x14ac:dyDescent="0.25">
      <c r="A491" s="94" t="s">
        <v>1078</v>
      </c>
      <c r="B491" s="74">
        <v>10527</v>
      </c>
      <c r="C491" s="52" t="s">
        <v>1079</v>
      </c>
      <c r="D491" s="119" t="s">
        <v>1080</v>
      </c>
      <c r="E491" s="54">
        <v>300</v>
      </c>
      <c r="F491" s="54">
        <v>12</v>
      </c>
      <c r="G491" s="124">
        <f t="shared" si="25"/>
        <v>3600</v>
      </c>
      <c r="H491" s="48">
        <f t="shared" si="22"/>
        <v>5.1720787602648453E-4</v>
      </c>
      <c r="I491" s="151"/>
      <c r="J491" s="151"/>
      <c r="K491" s="151"/>
      <c r="L491" s="151"/>
      <c r="M491" s="151"/>
      <c r="N491" s="151"/>
      <c r="O491" s="151"/>
      <c r="P491" s="151"/>
      <c r="Q491" s="151"/>
      <c r="R491" s="151"/>
      <c r="S491" s="151"/>
      <c r="T491" s="151"/>
      <c r="U491" s="151"/>
      <c r="V491" s="151"/>
      <c r="W491" s="151"/>
      <c r="X491" s="151"/>
      <c r="Y491" s="151"/>
      <c r="Z491" s="151"/>
      <c r="AA491" s="151"/>
      <c r="AB491" s="151"/>
      <c r="AC491" s="151"/>
      <c r="AD491" s="151"/>
      <c r="AE491" s="151"/>
      <c r="AF491" s="151"/>
      <c r="AG491" s="151"/>
      <c r="AH491" s="151"/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</row>
    <row r="492" spans="1:56" s="40" customFormat="1" ht="36" x14ac:dyDescent="0.25">
      <c r="A492" s="94" t="s">
        <v>1081</v>
      </c>
      <c r="B492" s="74">
        <v>97064</v>
      </c>
      <c r="C492" s="52" t="s">
        <v>1082</v>
      </c>
      <c r="D492" s="119" t="s">
        <v>38</v>
      </c>
      <c r="E492" s="54">
        <v>300</v>
      </c>
      <c r="F492" s="54">
        <v>21.69</v>
      </c>
      <c r="G492" s="124">
        <f t="shared" si="25"/>
        <v>6507</v>
      </c>
      <c r="H492" s="48">
        <f t="shared" si="22"/>
        <v>9.3485323591787066E-4</v>
      </c>
      <c r="I492" s="151"/>
      <c r="J492" s="151"/>
      <c r="K492" s="151"/>
      <c r="L492" s="151"/>
      <c r="M492" s="151"/>
      <c r="N492" s="151"/>
      <c r="O492" s="151"/>
      <c r="P492" s="151"/>
      <c r="Q492" s="151"/>
      <c r="R492" s="151"/>
      <c r="S492" s="151"/>
      <c r="T492" s="151"/>
      <c r="U492" s="151"/>
      <c r="V492" s="151"/>
      <c r="W492" s="151"/>
      <c r="X492" s="151"/>
      <c r="Y492" s="151"/>
      <c r="Z492" s="151"/>
      <c r="AA492" s="151"/>
      <c r="AB492" s="151"/>
      <c r="AC492" s="151"/>
      <c r="AD492" s="151"/>
      <c r="AE492" s="151"/>
      <c r="AF492" s="151"/>
      <c r="AG492" s="151"/>
      <c r="AH492" s="151"/>
      <c r="AI492" s="151"/>
      <c r="AJ492" s="151"/>
      <c r="AK492" s="151"/>
      <c r="AL492" s="151"/>
      <c r="AM492" s="151"/>
      <c r="AN492" s="151"/>
      <c r="AO492" s="151"/>
      <c r="AP492" s="151"/>
      <c r="AQ492" s="151"/>
      <c r="AR492" s="151"/>
      <c r="AS492" s="151"/>
      <c r="AT492" s="151"/>
      <c r="AU492" s="151"/>
      <c r="AV492" s="151"/>
      <c r="AW492" s="151"/>
      <c r="AX492" s="151"/>
      <c r="AY492" s="151"/>
      <c r="AZ492" s="151"/>
      <c r="BA492" s="151"/>
      <c r="BB492" s="151"/>
      <c r="BC492" s="151"/>
      <c r="BD492" s="151"/>
    </row>
    <row r="493" spans="1:56" s="40" customFormat="1" ht="54" x14ac:dyDescent="0.25">
      <c r="A493" s="94" t="s">
        <v>1083</v>
      </c>
      <c r="B493" s="74">
        <v>93281</v>
      </c>
      <c r="C493" s="52" t="s">
        <v>1084</v>
      </c>
      <c r="D493" s="119" t="s">
        <v>1085</v>
      </c>
      <c r="E493" s="55">
        <v>84</v>
      </c>
      <c r="F493" s="54">
        <v>26.78</v>
      </c>
      <c r="G493" s="124">
        <f t="shared" si="25"/>
        <v>2249.52</v>
      </c>
      <c r="H493" s="48">
        <f t="shared" si="22"/>
        <v>3.2318596146641595E-4</v>
      </c>
      <c r="I493" s="151"/>
      <c r="J493" s="151"/>
      <c r="K493" s="151"/>
      <c r="L493" s="151"/>
      <c r="M493" s="151"/>
      <c r="N493" s="151"/>
      <c r="O493" s="151"/>
      <c r="P493" s="151"/>
      <c r="Q493" s="151"/>
      <c r="R493" s="151"/>
      <c r="S493" s="151"/>
      <c r="T493" s="151"/>
      <c r="U493" s="151"/>
      <c r="V493" s="151"/>
      <c r="W493" s="151"/>
      <c r="X493" s="151"/>
      <c r="Y493" s="151"/>
      <c r="Z493" s="151"/>
      <c r="AA493" s="151"/>
      <c r="AB493" s="151"/>
      <c r="AC493" s="151"/>
      <c r="AD493" s="151"/>
      <c r="AE493" s="151"/>
      <c r="AF493" s="151"/>
      <c r="AG493" s="151"/>
      <c r="AH493" s="151"/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</row>
    <row r="494" spans="1:56" s="40" customFormat="1" ht="36" x14ac:dyDescent="0.25">
      <c r="A494" s="94" t="s">
        <v>1086</v>
      </c>
      <c r="B494" s="74" t="s">
        <v>1087</v>
      </c>
      <c r="C494" s="52" t="s">
        <v>1088</v>
      </c>
      <c r="D494" s="119" t="s">
        <v>66</v>
      </c>
      <c r="E494" s="55">
        <v>110</v>
      </c>
      <c r="F494" s="54">
        <v>46</v>
      </c>
      <c r="G494" s="124">
        <f t="shared" si="25"/>
        <v>5060</v>
      </c>
      <c r="H494" s="48">
        <f t="shared" si="22"/>
        <v>7.269644035261143E-4</v>
      </c>
      <c r="I494" s="151"/>
      <c r="J494" s="151"/>
      <c r="K494" s="151"/>
      <c r="L494" s="151"/>
      <c r="M494" s="151"/>
      <c r="N494" s="151"/>
      <c r="O494" s="151"/>
      <c r="P494" s="151"/>
      <c r="Q494" s="151"/>
      <c r="R494" s="151"/>
      <c r="S494" s="151"/>
      <c r="T494" s="151"/>
      <c r="U494" s="151"/>
      <c r="V494" s="151"/>
      <c r="W494" s="151"/>
      <c r="X494" s="151"/>
      <c r="Y494" s="151"/>
      <c r="Z494" s="151"/>
      <c r="AA494" s="151"/>
      <c r="AB494" s="151"/>
      <c r="AC494" s="151"/>
      <c r="AD494" s="151"/>
      <c r="AE494" s="151"/>
      <c r="AF494" s="151"/>
      <c r="AG494" s="151"/>
      <c r="AH494" s="151"/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</row>
    <row r="495" spans="1:56" s="40" customFormat="1" ht="18" x14ac:dyDescent="0.25">
      <c r="A495" s="94" t="s">
        <v>1089</v>
      </c>
      <c r="B495" s="74">
        <v>98459</v>
      </c>
      <c r="C495" s="52" t="s">
        <v>1090</v>
      </c>
      <c r="D495" s="119" t="s">
        <v>29</v>
      </c>
      <c r="E495" s="55">
        <v>201.52900000000002</v>
      </c>
      <c r="F495" s="54">
        <v>72.72</v>
      </c>
      <c r="G495" s="124">
        <f t="shared" si="25"/>
        <v>14655.188880000002</v>
      </c>
      <c r="H495" s="48">
        <f t="shared" si="22"/>
        <v>2.1054941981643763E-3</v>
      </c>
      <c r="I495" s="151"/>
      <c r="J495" s="151"/>
      <c r="K495" s="151"/>
      <c r="L495" s="151"/>
      <c r="M495" s="151"/>
      <c r="N495" s="151"/>
      <c r="O495" s="151"/>
      <c r="P495" s="151"/>
      <c r="Q495" s="151"/>
      <c r="R495" s="151"/>
      <c r="S495" s="151"/>
      <c r="T495" s="151"/>
      <c r="U495" s="151"/>
      <c r="V495" s="151"/>
      <c r="W495" s="151"/>
      <c r="X495" s="151"/>
      <c r="Y495" s="151"/>
      <c r="Z495" s="151"/>
      <c r="AA495" s="151"/>
      <c r="AB495" s="151"/>
      <c r="AC495" s="151"/>
      <c r="AD495" s="151"/>
      <c r="AE495" s="151"/>
      <c r="AF495" s="151"/>
      <c r="AG495" s="151"/>
      <c r="AH495" s="151"/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</row>
    <row r="496" spans="1:56" s="40" customFormat="1" ht="18" x14ac:dyDescent="0.25">
      <c r="A496" s="94" t="s">
        <v>1091</v>
      </c>
      <c r="B496" s="74" t="s">
        <v>1092</v>
      </c>
      <c r="C496" s="52" t="str">
        <f>UPPER("Aluguel de Guincho Velox ( foguetinho )")</f>
        <v>ALUGUEL DE GUINCHO VELOX ( FOGUETINHO )</v>
      </c>
      <c r="D496" s="119" t="s">
        <v>1093</v>
      </c>
      <c r="E496" s="55">
        <v>12</v>
      </c>
      <c r="F496" s="54">
        <v>781.79</v>
      </c>
      <c r="G496" s="124">
        <f t="shared" si="25"/>
        <v>9381.48</v>
      </c>
      <c r="H496" s="48">
        <f t="shared" si="22"/>
        <v>1.3478264846624843E-3</v>
      </c>
      <c r="I496" s="151"/>
      <c r="J496" s="151"/>
      <c r="K496" s="151"/>
      <c r="L496" s="151"/>
      <c r="M496" s="151"/>
      <c r="N496" s="151"/>
      <c r="O496" s="151"/>
      <c r="P496" s="151"/>
      <c r="Q496" s="151"/>
      <c r="R496" s="151"/>
      <c r="S496" s="151"/>
      <c r="T496" s="151"/>
      <c r="U496" s="151"/>
      <c r="V496" s="151"/>
      <c r="W496" s="151"/>
      <c r="X496" s="151"/>
      <c r="Y496" s="151"/>
      <c r="Z496" s="151"/>
      <c r="AA496" s="151"/>
      <c r="AB496" s="151"/>
      <c r="AC496" s="151"/>
      <c r="AD496" s="151"/>
      <c r="AE496" s="151"/>
      <c r="AF496" s="151"/>
      <c r="AG496" s="151"/>
      <c r="AH496" s="151"/>
      <c r="AI496" s="151"/>
      <c r="AJ496" s="151"/>
      <c r="AK496" s="151"/>
      <c r="AL496" s="151"/>
      <c r="AM496" s="151"/>
      <c r="AN496" s="151"/>
      <c r="AO496" s="151"/>
      <c r="AP496" s="151"/>
      <c r="AQ496" s="151"/>
      <c r="AR496" s="151"/>
      <c r="AS496" s="151"/>
      <c r="AT496" s="151"/>
      <c r="AU496" s="151"/>
      <c r="AV496" s="151"/>
      <c r="AW496" s="151"/>
      <c r="AX496" s="151"/>
      <c r="AY496" s="151"/>
      <c r="AZ496" s="151"/>
      <c r="BA496" s="151"/>
      <c r="BB496" s="151"/>
      <c r="BC496" s="151"/>
      <c r="BD496" s="151"/>
    </row>
    <row r="497" spans="1:56" s="40" customFormat="1" ht="36" x14ac:dyDescent="0.25">
      <c r="A497" s="94" t="s">
        <v>1094</v>
      </c>
      <c r="B497" s="74">
        <v>4654</v>
      </c>
      <c r="C497" s="52" t="s">
        <v>1095</v>
      </c>
      <c r="D497" s="119" t="s">
        <v>1093</v>
      </c>
      <c r="E497" s="55">
        <v>7</v>
      </c>
      <c r="F497" s="54">
        <v>407.81</v>
      </c>
      <c r="G497" s="124">
        <f t="shared" si="25"/>
        <v>2854.67</v>
      </c>
      <c r="H497" s="48">
        <f t="shared" si="22"/>
        <v>4.1012716873792347E-4</v>
      </c>
      <c r="I497" s="151"/>
      <c r="J497" s="151"/>
      <c r="K497" s="151"/>
      <c r="L497" s="151"/>
      <c r="M497" s="151"/>
      <c r="N497" s="151"/>
      <c r="O497" s="151"/>
      <c r="P497" s="151"/>
      <c r="Q497" s="151"/>
      <c r="R497" s="151"/>
      <c r="S497" s="151"/>
      <c r="T497" s="151"/>
      <c r="U497" s="151"/>
      <c r="V497" s="151"/>
      <c r="W497" s="151"/>
      <c r="X497" s="151"/>
      <c r="Y497" s="151"/>
      <c r="Z497" s="151"/>
      <c r="AA497" s="151"/>
      <c r="AB497" s="151"/>
      <c r="AC497" s="151"/>
      <c r="AD497" s="151"/>
      <c r="AE497" s="151"/>
      <c r="AF497" s="151"/>
      <c r="AG497" s="151"/>
      <c r="AH497" s="151"/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</row>
    <row r="498" spans="1:56" s="40" customFormat="1" ht="18" x14ac:dyDescent="0.25">
      <c r="A498" s="94" t="s">
        <v>1096</v>
      </c>
      <c r="B498" s="74">
        <v>10777</v>
      </c>
      <c r="C498" s="52" t="s">
        <v>1097</v>
      </c>
      <c r="D498" s="53" t="s">
        <v>1093</v>
      </c>
      <c r="E498" s="54">
        <v>12</v>
      </c>
      <c r="F498" s="54">
        <v>811.82</v>
      </c>
      <c r="G498" s="124">
        <f t="shared" si="25"/>
        <v>9741.84</v>
      </c>
      <c r="H498" s="48">
        <f t="shared" si="22"/>
        <v>1.3995989930527355E-3</v>
      </c>
      <c r="I498" s="151"/>
      <c r="J498" s="151"/>
      <c r="K498" s="151"/>
      <c r="L498" s="151"/>
      <c r="M498" s="151"/>
      <c r="N498" s="151"/>
      <c r="O498" s="151"/>
      <c r="P498" s="151"/>
      <c r="Q498" s="151"/>
      <c r="R498" s="151"/>
      <c r="S498" s="151"/>
      <c r="T498" s="151"/>
      <c r="U498" s="151"/>
      <c r="V498" s="151"/>
      <c r="W498" s="151"/>
      <c r="X498" s="151"/>
      <c r="Y498" s="151"/>
      <c r="Z498" s="151"/>
      <c r="AA498" s="151"/>
      <c r="AB498" s="151"/>
      <c r="AC498" s="151"/>
      <c r="AD498" s="151"/>
      <c r="AE498" s="151"/>
      <c r="AF498" s="151"/>
      <c r="AG498" s="151"/>
      <c r="AH498" s="151"/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</row>
    <row r="499" spans="1:56" s="40" customFormat="1" ht="18.75" thickBot="1" x14ac:dyDescent="0.3">
      <c r="A499" s="94" t="s">
        <v>1098</v>
      </c>
      <c r="B499" s="158">
        <v>10775</v>
      </c>
      <c r="C499" s="160" t="s">
        <v>1099</v>
      </c>
      <c r="D499" s="69" t="s">
        <v>1093</v>
      </c>
      <c r="E499" s="55">
        <v>12</v>
      </c>
      <c r="F499" s="55">
        <v>715</v>
      </c>
      <c r="G499" s="124">
        <f t="shared" si="25"/>
        <v>8580</v>
      </c>
      <c r="H499" s="48">
        <f t="shared" si="22"/>
        <v>1.2326787711964546E-3</v>
      </c>
      <c r="I499" s="151"/>
      <c r="J499" s="151"/>
      <c r="K499" s="151"/>
      <c r="L499" s="151"/>
      <c r="M499" s="151"/>
      <c r="N499" s="151"/>
      <c r="O499" s="151"/>
      <c r="P499" s="151"/>
      <c r="Q499" s="151"/>
      <c r="R499" s="151"/>
      <c r="S499" s="151"/>
      <c r="T499" s="151"/>
      <c r="U499" s="151"/>
      <c r="V499" s="151"/>
      <c r="W499" s="151"/>
      <c r="X499" s="151"/>
      <c r="Y499" s="151"/>
      <c r="Z499" s="151"/>
      <c r="AA499" s="151"/>
      <c r="AB499" s="151"/>
      <c r="AC499" s="151"/>
      <c r="AD499" s="151"/>
      <c r="AE499" s="151"/>
      <c r="AF499" s="151"/>
      <c r="AG499" s="151"/>
      <c r="AH499" s="151"/>
      <c r="AI499" s="151"/>
      <c r="AJ499" s="151"/>
      <c r="AK499" s="151"/>
      <c r="AL499" s="151"/>
      <c r="AM499" s="151"/>
      <c r="AN499" s="151"/>
      <c r="AO499" s="151"/>
      <c r="AP499" s="151"/>
      <c r="AQ499" s="151"/>
      <c r="AR499" s="151"/>
      <c r="AS499" s="151"/>
      <c r="AT499" s="151"/>
      <c r="AU499" s="151"/>
      <c r="AV499" s="151"/>
      <c r="AW499" s="151"/>
      <c r="AX499" s="151"/>
      <c r="AY499" s="151"/>
      <c r="AZ499" s="151"/>
      <c r="BA499" s="151"/>
      <c r="BB499" s="151"/>
      <c r="BC499" s="151"/>
      <c r="BD499" s="151"/>
    </row>
    <row r="500" spans="1:56" s="40" customFormat="1" ht="18.75" thickBot="1" x14ac:dyDescent="0.3">
      <c r="A500" s="42">
        <v>20</v>
      </c>
      <c r="B500" s="90"/>
      <c r="C500" s="71" t="s">
        <v>1100</v>
      </c>
      <c r="D500" s="91"/>
      <c r="E500" s="92"/>
      <c r="F500" s="93"/>
      <c r="G500" s="72">
        <f>SUM(G501:G572)</f>
        <v>483532.17800000001</v>
      </c>
      <c r="H500" s="48">
        <f t="shared" si="22"/>
        <v>6.9468514103844456E-2</v>
      </c>
      <c r="I500" s="151"/>
      <c r="J500" s="151"/>
      <c r="K500" s="151"/>
      <c r="L500" s="151"/>
      <c r="M500" s="151"/>
      <c r="N500" s="151"/>
      <c r="O500" s="151"/>
      <c r="P500" s="151"/>
      <c r="Q500" s="151"/>
      <c r="R500" s="151"/>
      <c r="S500" s="151"/>
      <c r="T500" s="151"/>
      <c r="U500" s="151"/>
      <c r="V500" s="151"/>
      <c r="W500" s="151"/>
      <c r="X500" s="151"/>
      <c r="Y500" s="151"/>
      <c r="Z500" s="151"/>
      <c r="AA500" s="151"/>
      <c r="AB500" s="151"/>
      <c r="AC500" s="151"/>
      <c r="AD500" s="151"/>
      <c r="AE500" s="151"/>
      <c r="AF500" s="151"/>
      <c r="AG500" s="151"/>
      <c r="AH500" s="151"/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</row>
    <row r="501" spans="1:56" s="40" customFormat="1" ht="90" x14ac:dyDescent="0.25">
      <c r="A501" s="94" t="s">
        <v>1101</v>
      </c>
      <c r="B501" s="157" t="s">
        <v>1102</v>
      </c>
      <c r="C501" s="103" t="str">
        <f>UPPER("Escada marinheiro com guarda corpo, L=45cm, executada em barras chata galvanizada 1 1/4 x 5/16, e guarda corpo d=65cm em barra chata galv.d=1x1/8, sendo degraus em barra red. d=5/8, espaçados de 30cm, inclusive lixamento e pintura, fornec e inst")</f>
        <v>ESCADA MARINHEIRO COM GUARDA CORPO, L=45CM, EXECUTADA EM BARRAS CHATA GALVANIZADA 1 1/4 X 5/16, E GUARDA CORPO D=65CM EM BARRA CHATA GALV.D=1X1/8, SENDO DEGRAUS EM BARRA RED. D=5/8, ESPAÇADOS DE 30CM, INCLUSIVE LIXAMENTO E PINTURA, FORNEC E INST</v>
      </c>
      <c r="D501" s="69" t="s">
        <v>38</v>
      </c>
      <c r="E501" s="54">
        <v>5</v>
      </c>
      <c r="F501" s="155">
        <v>1133.19</v>
      </c>
      <c r="G501" s="56">
        <f>E501*F501</f>
        <v>5665.9500000000007</v>
      </c>
      <c r="H501" s="48">
        <f t="shared" si="22"/>
        <v>8.140205458811834E-4</v>
      </c>
      <c r="I501" s="151"/>
      <c r="J501" s="151"/>
      <c r="K501" s="151"/>
      <c r="L501" s="151"/>
      <c r="M501" s="151"/>
      <c r="N501" s="151"/>
      <c r="O501" s="151"/>
      <c r="P501" s="151"/>
      <c r="Q501" s="151"/>
      <c r="R501" s="151"/>
      <c r="S501" s="151"/>
      <c r="T501" s="151"/>
      <c r="U501" s="151"/>
      <c r="V501" s="151"/>
      <c r="W501" s="151"/>
      <c r="X501" s="151"/>
      <c r="Y501" s="151"/>
      <c r="Z501" s="151"/>
      <c r="AA501" s="151"/>
      <c r="AB501" s="151"/>
      <c r="AC501" s="151"/>
      <c r="AD501" s="151"/>
      <c r="AE501" s="151"/>
      <c r="AF501" s="151"/>
      <c r="AG501" s="151"/>
      <c r="AH501" s="151"/>
      <c r="AI501" s="151"/>
      <c r="AJ501" s="151"/>
      <c r="AK501" s="151"/>
      <c r="AL501" s="151"/>
      <c r="AM501" s="151"/>
      <c r="AN501" s="151"/>
      <c r="AO501" s="151"/>
      <c r="AP501" s="151"/>
      <c r="AQ501" s="151"/>
      <c r="AR501" s="151"/>
      <c r="AS501" s="151"/>
      <c r="AT501" s="151"/>
      <c r="AU501" s="151"/>
      <c r="AV501" s="151"/>
      <c r="AW501" s="151"/>
      <c r="AX501" s="151"/>
      <c r="AY501" s="151"/>
      <c r="AZ501" s="151"/>
      <c r="BA501" s="151"/>
      <c r="BB501" s="151"/>
      <c r="BC501" s="151"/>
      <c r="BD501" s="151"/>
    </row>
    <row r="502" spans="1:56" s="40" customFormat="1" ht="36" x14ac:dyDescent="0.25">
      <c r="A502" s="94" t="s">
        <v>1103</v>
      </c>
      <c r="B502" s="157" t="s">
        <v>1104</v>
      </c>
      <c r="C502" s="103" t="str">
        <f>UPPER("Tampa de Inspeção em chapa metalica de aço 1/4, dim: 1,00x1,00m, inclusive pintura e cadeado")</f>
        <v>TAMPA DE INSPEÇÃO EM CHAPA METALICA DE AÇO 1/4, DIM: 1,00X1,00M, INCLUSIVE PINTURA E CADEADO</v>
      </c>
      <c r="D502" s="69" t="s">
        <v>52</v>
      </c>
      <c r="E502" s="54">
        <v>10</v>
      </c>
      <c r="F502" s="96">
        <v>321.62</v>
      </c>
      <c r="G502" s="56">
        <f t="shared" ref="G502:G565" si="26">E502*F502</f>
        <v>3216.2</v>
      </c>
      <c r="H502" s="48">
        <f t="shared" si="22"/>
        <v>4.6206776968788312E-4</v>
      </c>
      <c r="I502" s="151"/>
      <c r="J502" s="151"/>
      <c r="K502" s="151"/>
      <c r="L502" s="151"/>
      <c r="M502" s="151"/>
      <c r="N502" s="151"/>
      <c r="O502" s="151"/>
      <c r="P502" s="151"/>
      <c r="Q502" s="151"/>
      <c r="R502" s="151"/>
      <c r="S502" s="151"/>
      <c r="T502" s="151"/>
      <c r="U502" s="151"/>
      <c r="V502" s="151"/>
      <c r="W502" s="151"/>
      <c r="X502" s="151"/>
      <c r="Y502" s="151"/>
      <c r="Z502" s="151"/>
      <c r="AA502" s="151"/>
      <c r="AB502" s="151"/>
      <c r="AC502" s="151"/>
      <c r="AD502" s="151"/>
      <c r="AE502" s="151"/>
      <c r="AF502" s="151"/>
      <c r="AG502" s="151"/>
      <c r="AH502" s="151"/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</row>
    <row r="503" spans="1:56" s="40" customFormat="1" ht="36" x14ac:dyDescent="0.25">
      <c r="A503" s="94" t="s">
        <v>1105</v>
      </c>
      <c r="B503" s="82">
        <v>94216</v>
      </c>
      <c r="C503" s="103" t="s">
        <v>1106</v>
      </c>
      <c r="D503" s="53" t="s">
        <v>29</v>
      </c>
      <c r="E503" s="54">
        <v>50</v>
      </c>
      <c r="F503" s="96">
        <v>145.30000000000001</v>
      </c>
      <c r="G503" s="56">
        <f t="shared" si="26"/>
        <v>7265.0000000000009</v>
      </c>
      <c r="H503" s="48">
        <f t="shared" si="22"/>
        <v>1.0437542275923363E-3</v>
      </c>
      <c r="I503" s="151"/>
      <c r="J503" s="151"/>
      <c r="K503" s="151"/>
      <c r="L503" s="151"/>
      <c r="M503" s="151"/>
      <c r="N503" s="151"/>
      <c r="O503" s="151"/>
      <c r="P503" s="151"/>
      <c r="Q503" s="151"/>
      <c r="R503" s="151"/>
      <c r="S503" s="151"/>
      <c r="T503" s="151"/>
      <c r="U503" s="151"/>
      <c r="V503" s="151"/>
      <c r="W503" s="151"/>
      <c r="X503" s="151"/>
      <c r="Y503" s="151"/>
      <c r="Z503" s="151"/>
      <c r="AA503" s="151"/>
      <c r="AB503" s="151"/>
      <c r="AC503" s="151"/>
      <c r="AD503" s="151"/>
      <c r="AE503" s="151"/>
      <c r="AF503" s="151"/>
      <c r="AG503" s="151"/>
      <c r="AH503" s="151"/>
      <c r="AI503" s="151"/>
      <c r="AJ503" s="151"/>
      <c r="AK503" s="151"/>
      <c r="AL503" s="151"/>
      <c r="AM503" s="151"/>
      <c r="AN503" s="151"/>
      <c r="AO503" s="151"/>
      <c r="AP503" s="151"/>
      <c r="AQ503" s="151"/>
      <c r="AR503" s="151"/>
      <c r="AS503" s="151"/>
      <c r="AT503" s="151"/>
      <c r="AU503" s="151"/>
      <c r="AV503" s="151"/>
      <c r="AW503" s="151"/>
      <c r="AX503" s="151"/>
      <c r="AY503" s="151"/>
      <c r="AZ503" s="151"/>
      <c r="BA503" s="151"/>
      <c r="BB503" s="151"/>
      <c r="BC503" s="151"/>
      <c r="BD503" s="151"/>
    </row>
    <row r="504" spans="1:56" s="40" customFormat="1" ht="36" x14ac:dyDescent="0.25">
      <c r="A504" s="94" t="s">
        <v>1107</v>
      </c>
      <c r="B504" s="82" t="s">
        <v>1108</v>
      </c>
      <c r="C504" s="103" t="str">
        <f>UPPER("Caixa de passagem em alvenaria de tijolos maciços esp. = 0,17m, dim. int. = 1.00 x 1.00 x 1,00m")</f>
        <v>CAIXA DE PASSAGEM EM ALVENARIA DE TIJOLOS MACIÇOS ESP. = 0,17M, DIM. INT. = 1.00 X 1.00 X 1,00M</v>
      </c>
      <c r="D504" s="53" t="s">
        <v>52</v>
      </c>
      <c r="E504" s="54">
        <v>10</v>
      </c>
      <c r="F504" s="96">
        <v>1258.67</v>
      </c>
      <c r="G504" s="56">
        <f t="shared" si="26"/>
        <v>12586.7</v>
      </c>
      <c r="H504" s="48">
        <f t="shared" si="22"/>
        <v>1.8083167703284869E-3</v>
      </c>
      <c r="I504" s="151"/>
      <c r="J504" s="151"/>
      <c r="K504" s="151"/>
      <c r="L504" s="151"/>
      <c r="M504" s="151"/>
      <c r="N504" s="151"/>
      <c r="O504" s="151"/>
      <c r="P504" s="151"/>
      <c r="Q504" s="151"/>
      <c r="R504" s="151"/>
      <c r="S504" s="151"/>
      <c r="T504" s="151"/>
      <c r="U504" s="151"/>
      <c r="V504" s="151"/>
      <c r="W504" s="151"/>
      <c r="X504" s="151"/>
      <c r="Y504" s="151"/>
      <c r="Z504" s="151"/>
      <c r="AA504" s="151"/>
      <c r="AB504" s="151"/>
      <c r="AC504" s="151"/>
      <c r="AD504" s="151"/>
      <c r="AE504" s="151"/>
      <c r="AF504" s="151"/>
      <c r="AG504" s="151"/>
      <c r="AH504" s="151"/>
      <c r="AI504" s="151"/>
      <c r="AJ504" s="151"/>
      <c r="AK504" s="151"/>
      <c r="AL504" s="151"/>
      <c r="AM504" s="151"/>
      <c r="AN504" s="151"/>
      <c r="AO504" s="151"/>
      <c r="AP504" s="151"/>
      <c r="AQ504" s="151"/>
      <c r="AR504" s="151"/>
      <c r="AS504" s="151"/>
      <c r="AT504" s="151"/>
      <c r="AU504" s="151"/>
      <c r="AV504" s="151"/>
      <c r="AW504" s="151"/>
      <c r="AX504" s="151"/>
      <c r="AY504" s="151"/>
      <c r="AZ504" s="151"/>
      <c r="BA504" s="151"/>
      <c r="BB504" s="151"/>
      <c r="BC504" s="151"/>
      <c r="BD504" s="151"/>
    </row>
    <row r="505" spans="1:56" s="40" customFormat="1" ht="36" x14ac:dyDescent="0.25">
      <c r="A505" s="94" t="s">
        <v>1109</v>
      </c>
      <c r="B505" s="82">
        <v>83671</v>
      </c>
      <c r="C505" s="103" t="s">
        <v>1110</v>
      </c>
      <c r="D505" s="53" t="s">
        <v>38</v>
      </c>
      <c r="E505" s="54">
        <v>100</v>
      </c>
      <c r="F505" s="96">
        <v>53.16</v>
      </c>
      <c r="G505" s="56">
        <f t="shared" si="26"/>
        <v>5316</v>
      </c>
      <c r="H505" s="48">
        <f t="shared" si="22"/>
        <v>7.6374363026577544E-4</v>
      </c>
      <c r="I505" s="151"/>
      <c r="J505" s="151"/>
      <c r="K505" s="151"/>
      <c r="L505" s="151"/>
      <c r="M505" s="151"/>
      <c r="N505" s="151"/>
      <c r="O505" s="151"/>
      <c r="P505" s="151"/>
      <c r="Q505" s="151"/>
      <c r="R505" s="151"/>
      <c r="S505" s="151"/>
      <c r="T505" s="151"/>
      <c r="U505" s="151"/>
      <c r="V505" s="151"/>
      <c r="W505" s="151"/>
      <c r="X505" s="151"/>
      <c r="Y505" s="151"/>
      <c r="Z505" s="151"/>
      <c r="AA505" s="151"/>
      <c r="AB505" s="151"/>
      <c r="AC505" s="151"/>
      <c r="AD505" s="151"/>
      <c r="AE505" s="151"/>
      <c r="AF505" s="151"/>
      <c r="AG505" s="151"/>
      <c r="AH505" s="151"/>
      <c r="AI505" s="151"/>
      <c r="AJ505" s="151"/>
      <c r="AK505" s="151"/>
      <c r="AL505" s="151"/>
      <c r="AM505" s="151"/>
      <c r="AN505" s="151"/>
      <c r="AO505" s="151"/>
      <c r="AP505" s="151"/>
      <c r="AQ505" s="151"/>
      <c r="AR505" s="151"/>
      <c r="AS505" s="151"/>
      <c r="AT505" s="151"/>
      <c r="AU505" s="151"/>
      <c r="AV505" s="151"/>
      <c r="AW505" s="151"/>
      <c r="AX505" s="151"/>
      <c r="AY505" s="151"/>
      <c r="AZ505" s="151"/>
      <c r="BA505" s="151"/>
      <c r="BB505" s="151"/>
      <c r="BC505" s="151"/>
      <c r="BD505" s="151"/>
    </row>
    <row r="506" spans="1:56" s="40" customFormat="1" ht="36" x14ac:dyDescent="0.25">
      <c r="A506" s="94" t="s">
        <v>1111</v>
      </c>
      <c r="B506" s="82">
        <v>92210</v>
      </c>
      <c r="C506" s="103" t="s">
        <v>1112</v>
      </c>
      <c r="D506" s="53" t="s">
        <v>38</v>
      </c>
      <c r="E506" s="54">
        <v>50</v>
      </c>
      <c r="F506" s="96">
        <v>135.81</v>
      </c>
      <c r="G506" s="56">
        <f t="shared" si="26"/>
        <v>6790.5</v>
      </c>
      <c r="H506" s="48">
        <f t="shared" si="22"/>
        <v>9.7558335615495636E-4</v>
      </c>
      <c r="I506" s="151"/>
      <c r="J506" s="151"/>
      <c r="K506" s="151"/>
      <c r="L506" s="151"/>
      <c r="M506" s="151"/>
      <c r="N506" s="151"/>
      <c r="O506" s="151"/>
      <c r="P506" s="151"/>
      <c r="Q506" s="151"/>
      <c r="R506" s="151"/>
      <c r="S506" s="151"/>
      <c r="T506" s="151"/>
      <c r="U506" s="151"/>
      <c r="V506" s="151"/>
      <c r="W506" s="151"/>
      <c r="X506" s="151"/>
      <c r="Y506" s="151"/>
      <c r="Z506" s="151"/>
      <c r="AA506" s="151"/>
      <c r="AB506" s="151"/>
      <c r="AC506" s="151"/>
      <c r="AD506" s="151"/>
      <c r="AE506" s="151"/>
      <c r="AF506" s="151"/>
      <c r="AG506" s="151"/>
      <c r="AH506" s="151"/>
      <c r="AI506" s="151"/>
      <c r="AJ506" s="151"/>
      <c r="AK506" s="151"/>
      <c r="AL506" s="151"/>
      <c r="AM506" s="151"/>
      <c r="AN506" s="151"/>
      <c r="AO506" s="151"/>
      <c r="AP506" s="151"/>
      <c r="AQ506" s="151"/>
      <c r="AR506" s="151"/>
      <c r="AS506" s="151"/>
      <c r="AT506" s="151"/>
      <c r="AU506" s="151"/>
      <c r="AV506" s="151"/>
      <c r="AW506" s="151"/>
      <c r="AX506" s="151"/>
      <c r="AY506" s="151"/>
      <c r="AZ506" s="151"/>
      <c r="BA506" s="151"/>
      <c r="BB506" s="151"/>
      <c r="BC506" s="151"/>
      <c r="BD506" s="151"/>
    </row>
    <row r="507" spans="1:56" s="40" customFormat="1" ht="54" x14ac:dyDescent="0.25">
      <c r="A507" s="94" t="s">
        <v>1113</v>
      </c>
      <c r="B507" s="82" t="s">
        <v>1114</v>
      </c>
      <c r="C507" s="103" t="s">
        <v>1115</v>
      </c>
      <c r="D507" s="53" t="s">
        <v>52</v>
      </c>
      <c r="E507" s="54">
        <v>1</v>
      </c>
      <c r="F507" s="96">
        <v>358.66</v>
      </c>
      <c r="G507" s="56">
        <f t="shared" si="26"/>
        <v>358.66</v>
      </c>
      <c r="H507" s="48">
        <f t="shared" si="22"/>
        <v>5.152827133768304E-5</v>
      </c>
      <c r="I507" s="151"/>
      <c r="J507" s="151"/>
      <c r="K507" s="151"/>
      <c r="L507" s="151"/>
      <c r="M507" s="151"/>
      <c r="N507" s="151"/>
      <c r="O507" s="151"/>
      <c r="P507" s="151"/>
      <c r="Q507" s="151"/>
      <c r="R507" s="151"/>
      <c r="S507" s="151"/>
      <c r="T507" s="151"/>
      <c r="U507" s="151"/>
      <c r="V507" s="151"/>
      <c r="W507" s="151"/>
      <c r="X507" s="151"/>
      <c r="Y507" s="151"/>
      <c r="Z507" s="151"/>
      <c r="AA507" s="151"/>
      <c r="AB507" s="151"/>
      <c r="AC507" s="151"/>
      <c r="AD507" s="151"/>
      <c r="AE507" s="151"/>
      <c r="AF507" s="151"/>
      <c r="AG507" s="151"/>
      <c r="AH507" s="151"/>
      <c r="AI507" s="151"/>
      <c r="AJ507" s="151"/>
      <c r="AK507" s="151"/>
      <c r="AL507" s="151"/>
      <c r="AM507" s="151"/>
      <c r="AN507" s="151"/>
      <c r="AO507" s="151"/>
      <c r="AP507" s="151"/>
      <c r="AQ507" s="151"/>
      <c r="AR507" s="151"/>
      <c r="AS507" s="151"/>
      <c r="AT507" s="151"/>
      <c r="AU507" s="151"/>
      <c r="AV507" s="151"/>
      <c r="AW507" s="151"/>
      <c r="AX507" s="151"/>
      <c r="AY507" s="151"/>
      <c r="AZ507" s="151"/>
      <c r="BA507" s="151"/>
      <c r="BB507" s="151"/>
      <c r="BC507" s="151"/>
      <c r="BD507" s="151"/>
    </row>
    <row r="508" spans="1:56" s="40" customFormat="1" ht="18" x14ac:dyDescent="0.25">
      <c r="A508" s="94" t="s">
        <v>1116</v>
      </c>
      <c r="B508" s="82">
        <v>83650</v>
      </c>
      <c r="C508" s="104" t="s">
        <v>1117</v>
      </c>
      <c r="D508" s="119" t="s">
        <v>52</v>
      </c>
      <c r="E508" s="85">
        <v>1</v>
      </c>
      <c r="F508" s="106">
        <v>3954.6</v>
      </c>
      <c r="G508" s="56">
        <f t="shared" si="26"/>
        <v>3954.6</v>
      </c>
      <c r="H508" s="48">
        <f t="shared" si="22"/>
        <v>5.6815285181509322E-4</v>
      </c>
      <c r="I508" s="151"/>
      <c r="J508" s="151"/>
      <c r="K508" s="151"/>
      <c r="L508" s="151"/>
      <c r="M508" s="151"/>
      <c r="N508" s="151"/>
      <c r="O508" s="151"/>
      <c r="P508" s="151"/>
      <c r="Q508" s="151"/>
      <c r="R508" s="151"/>
      <c r="S508" s="151"/>
      <c r="T508" s="151"/>
      <c r="U508" s="151"/>
      <c r="V508" s="151"/>
      <c r="W508" s="151"/>
      <c r="X508" s="151"/>
      <c r="Y508" s="151"/>
      <c r="Z508" s="151"/>
      <c r="AA508" s="151"/>
      <c r="AB508" s="151"/>
      <c r="AC508" s="151"/>
      <c r="AD508" s="151"/>
      <c r="AE508" s="151"/>
      <c r="AF508" s="151"/>
      <c r="AG508" s="151"/>
      <c r="AH508" s="151"/>
      <c r="AI508" s="151"/>
      <c r="AJ508" s="151"/>
      <c r="AK508" s="151"/>
      <c r="AL508" s="151"/>
      <c r="AM508" s="151"/>
      <c r="AN508" s="151"/>
      <c r="AO508" s="151"/>
      <c r="AP508" s="151"/>
      <c r="AQ508" s="151"/>
      <c r="AR508" s="151"/>
      <c r="AS508" s="151"/>
      <c r="AT508" s="151"/>
      <c r="AU508" s="151"/>
      <c r="AV508" s="151"/>
      <c r="AW508" s="151"/>
      <c r="AX508" s="151"/>
      <c r="AY508" s="151"/>
      <c r="AZ508" s="151"/>
      <c r="BA508" s="151"/>
      <c r="BB508" s="151"/>
      <c r="BC508" s="151"/>
      <c r="BD508" s="151"/>
    </row>
    <row r="509" spans="1:56" s="40" customFormat="1" ht="18" x14ac:dyDescent="0.25">
      <c r="A509" s="94" t="s">
        <v>1118</v>
      </c>
      <c r="B509" s="82">
        <v>83649</v>
      </c>
      <c r="C509" s="104" t="s">
        <v>1119</v>
      </c>
      <c r="D509" s="119" t="s">
        <v>52</v>
      </c>
      <c r="E509" s="85">
        <v>1</v>
      </c>
      <c r="F509" s="106">
        <v>4674.92</v>
      </c>
      <c r="G509" s="56">
        <f t="shared" si="26"/>
        <v>4674.92</v>
      </c>
      <c r="H509" s="48">
        <f t="shared" si="22"/>
        <v>6.7164040105381466E-4</v>
      </c>
      <c r="I509" s="151"/>
      <c r="J509" s="151"/>
      <c r="K509" s="151"/>
      <c r="L509" s="151"/>
      <c r="M509" s="151"/>
      <c r="N509" s="151"/>
      <c r="O509" s="151"/>
      <c r="P509" s="151"/>
      <c r="Q509" s="151"/>
      <c r="R509" s="151"/>
      <c r="S509" s="151"/>
      <c r="T509" s="151"/>
      <c r="U509" s="151"/>
      <c r="V509" s="151"/>
      <c r="W509" s="151"/>
      <c r="X509" s="151"/>
      <c r="Y509" s="151"/>
      <c r="Z509" s="151"/>
      <c r="AA509" s="151"/>
      <c r="AB509" s="151"/>
      <c r="AC509" s="151"/>
      <c r="AD509" s="151"/>
      <c r="AE509" s="151"/>
      <c r="AF509" s="151"/>
      <c r="AG509" s="151"/>
      <c r="AH509" s="151"/>
      <c r="AI509" s="151"/>
      <c r="AJ509" s="151"/>
      <c r="AK509" s="151"/>
      <c r="AL509" s="151"/>
      <c r="AM509" s="151"/>
      <c r="AN509" s="151"/>
      <c r="AO509" s="151"/>
      <c r="AP509" s="151"/>
      <c r="AQ509" s="151"/>
      <c r="AR509" s="151"/>
      <c r="AS509" s="151"/>
      <c r="AT509" s="151"/>
      <c r="AU509" s="151"/>
      <c r="AV509" s="151"/>
      <c r="AW509" s="151"/>
      <c r="AX509" s="151"/>
      <c r="AY509" s="151"/>
      <c r="AZ509" s="151"/>
      <c r="BA509" s="151"/>
      <c r="BB509" s="151"/>
      <c r="BC509" s="151"/>
      <c r="BD509" s="151"/>
    </row>
    <row r="510" spans="1:56" s="40" customFormat="1" ht="18" x14ac:dyDescent="0.25">
      <c r="A510" s="94" t="s">
        <v>1120</v>
      </c>
      <c r="B510" s="82">
        <v>6171</v>
      </c>
      <c r="C510" s="104" t="s">
        <v>1121</v>
      </c>
      <c r="D510" s="119" t="s">
        <v>52</v>
      </c>
      <c r="E510" s="85">
        <v>20</v>
      </c>
      <c r="F510" s="106">
        <v>25.03</v>
      </c>
      <c r="G510" s="56">
        <f t="shared" si="26"/>
        <v>500.6</v>
      </c>
      <c r="H510" s="48">
        <f t="shared" si="22"/>
        <v>7.192062853857171E-5</v>
      </c>
      <c r="I510" s="151"/>
      <c r="J510" s="151"/>
      <c r="K510" s="151"/>
      <c r="L510" s="151"/>
      <c r="M510" s="151"/>
      <c r="N510" s="151"/>
      <c r="O510" s="151"/>
      <c r="P510" s="151"/>
      <c r="Q510" s="151"/>
      <c r="R510" s="151"/>
      <c r="S510" s="151"/>
      <c r="T510" s="151"/>
      <c r="U510" s="151"/>
      <c r="V510" s="151"/>
      <c r="W510" s="151"/>
      <c r="X510" s="151"/>
      <c r="Y510" s="151"/>
      <c r="Z510" s="151"/>
      <c r="AA510" s="151"/>
      <c r="AB510" s="151"/>
      <c r="AC510" s="151"/>
      <c r="AD510" s="151"/>
      <c r="AE510" s="151"/>
      <c r="AF510" s="151"/>
      <c r="AG510" s="151"/>
      <c r="AH510" s="151"/>
      <c r="AI510" s="151"/>
      <c r="AJ510" s="151"/>
      <c r="AK510" s="151"/>
      <c r="AL510" s="151"/>
      <c r="AM510" s="151"/>
      <c r="AN510" s="151"/>
      <c r="AO510" s="151"/>
      <c r="AP510" s="151"/>
      <c r="AQ510" s="151"/>
      <c r="AR510" s="151"/>
      <c r="AS510" s="151"/>
      <c r="AT510" s="151"/>
      <c r="AU510" s="151"/>
      <c r="AV510" s="151"/>
      <c r="AW510" s="151"/>
      <c r="AX510" s="151"/>
      <c r="AY510" s="151"/>
      <c r="AZ510" s="151"/>
      <c r="BA510" s="151"/>
      <c r="BB510" s="151"/>
      <c r="BC510" s="151"/>
      <c r="BD510" s="151"/>
    </row>
    <row r="511" spans="1:56" s="40" customFormat="1" ht="54" x14ac:dyDescent="0.25">
      <c r="A511" s="94" t="s">
        <v>1122</v>
      </c>
      <c r="B511" s="82">
        <v>1525</v>
      </c>
      <c r="C511" s="104" t="s">
        <v>1123</v>
      </c>
      <c r="D511" s="119" t="s">
        <v>66</v>
      </c>
      <c r="E511" s="85">
        <v>30</v>
      </c>
      <c r="F511" s="106">
        <v>335</v>
      </c>
      <c r="G511" s="56">
        <f t="shared" si="26"/>
        <v>10050</v>
      </c>
      <c r="H511" s="48">
        <f t="shared" si="22"/>
        <v>1.4438719872406024E-3</v>
      </c>
      <c r="I511" s="151"/>
      <c r="J511" s="151"/>
      <c r="K511" s="151"/>
      <c r="L511" s="151"/>
      <c r="M511" s="151"/>
      <c r="N511" s="151"/>
      <c r="O511" s="151"/>
      <c r="P511" s="151"/>
      <c r="Q511" s="151"/>
      <c r="R511" s="151"/>
      <c r="S511" s="151"/>
      <c r="T511" s="151"/>
      <c r="U511" s="151"/>
      <c r="V511" s="151"/>
      <c r="W511" s="151"/>
      <c r="X511" s="151"/>
      <c r="Y511" s="151"/>
      <c r="Z511" s="151"/>
      <c r="AA511" s="151"/>
      <c r="AB511" s="151"/>
      <c r="AC511" s="151"/>
      <c r="AD511" s="151"/>
      <c r="AE511" s="151"/>
      <c r="AF511" s="151"/>
      <c r="AG511" s="151"/>
      <c r="AH511" s="151"/>
      <c r="AI511" s="151"/>
      <c r="AJ511" s="151"/>
      <c r="AK511" s="151"/>
      <c r="AL511" s="151"/>
      <c r="AM511" s="151"/>
      <c r="AN511" s="151"/>
      <c r="AO511" s="151"/>
      <c r="AP511" s="151"/>
      <c r="AQ511" s="151"/>
      <c r="AR511" s="151"/>
      <c r="AS511" s="151"/>
      <c r="AT511" s="151"/>
      <c r="AU511" s="151"/>
      <c r="AV511" s="151"/>
      <c r="AW511" s="151"/>
      <c r="AX511" s="151"/>
      <c r="AY511" s="151"/>
      <c r="AZ511" s="151"/>
      <c r="BA511" s="151"/>
      <c r="BB511" s="151"/>
      <c r="BC511" s="151"/>
      <c r="BD511" s="151"/>
    </row>
    <row r="512" spans="1:56" s="40" customFormat="1" ht="36" x14ac:dyDescent="0.25">
      <c r="A512" s="94" t="s">
        <v>1124</v>
      </c>
      <c r="B512" s="82">
        <v>92777</v>
      </c>
      <c r="C512" s="104" t="s">
        <v>1125</v>
      </c>
      <c r="D512" s="119" t="s">
        <v>1126</v>
      </c>
      <c r="E512" s="85">
        <v>1000</v>
      </c>
      <c r="F512" s="106">
        <v>10.28</v>
      </c>
      <c r="G512" s="56">
        <f t="shared" si="26"/>
        <v>10280</v>
      </c>
      <c r="H512" s="48">
        <f t="shared" si="22"/>
        <v>1.4769158237645168E-3</v>
      </c>
      <c r="I512" s="151"/>
      <c r="J512" s="151"/>
      <c r="K512" s="151"/>
      <c r="L512" s="151"/>
      <c r="M512" s="151"/>
      <c r="N512" s="151"/>
      <c r="O512" s="151"/>
      <c r="P512" s="151"/>
      <c r="Q512" s="151"/>
      <c r="R512" s="151"/>
      <c r="S512" s="151"/>
      <c r="T512" s="151"/>
      <c r="U512" s="151"/>
      <c r="V512" s="151"/>
      <c r="W512" s="151"/>
      <c r="X512" s="151"/>
      <c r="Y512" s="151"/>
      <c r="Z512" s="151"/>
      <c r="AA512" s="151"/>
      <c r="AB512" s="151"/>
      <c r="AC512" s="151"/>
      <c r="AD512" s="151"/>
      <c r="AE512" s="151"/>
      <c r="AF512" s="151"/>
      <c r="AG512" s="151"/>
      <c r="AH512" s="151"/>
      <c r="AI512" s="151"/>
      <c r="AJ512" s="151"/>
      <c r="AK512" s="151"/>
      <c r="AL512" s="151"/>
      <c r="AM512" s="151"/>
      <c r="AN512" s="151"/>
      <c r="AO512" s="151"/>
      <c r="AP512" s="151"/>
      <c r="AQ512" s="151"/>
      <c r="AR512" s="151"/>
      <c r="AS512" s="151"/>
      <c r="AT512" s="151"/>
      <c r="AU512" s="151"/>
      <c r="AV512" s="151"/>
      <c r="AW512" s="151"/>
      <c r="AX512" s="151"/>
      <c r="AY512" s="151"/>
      <c r="AZ512" s="151"/>
      <c r="BA512" s="151"/>
      <c r="BB512" s="151"/>
      <c r="BC512" s="151"/>
      <c r="BD512" s="151"/>
    </row>
    <row r="513" spans="1:56" s="40" customFormat="1" ht="36" x14ac:dyDescent="0.25">
      <c r="A513" s="94" t="s">
        <v>1127</v>
      </c>
      <c r="B513" s="82">
        <v>92778</v>
      </c>
      <c r="C513" s="104" t="s">
        <v>1128</v>
      </c>
      <c r="D513" s="119" t="s">
        <v>1126</v>
      </c>
      <c r="E513" s="85">
        <v>1000</v>
      </c>
      <c r="F513" s="106">
        <v>8.7799999999999994</v>
      </c>
      <c r="G513" s="56">
        <f t="shared" si="26"/>
        <v>8780</v>
      </c>
      <c r="H513" s="48">
        <f t="shared" si="22"/>
        <v>1.2614125420868148E-3</v>
      </c>
      <c r="I513" s="151"/>
      <c r="J513" s="151"/>
      <c r="K513" s="151"/>
      <c r="L513" s="151"/>
      <c r="M513" s="151"/>
      <c r="N513" s="151"/>
      <c r="O513" s="151"/>
      <c r="P513" s="151"/>
      <c r="Q513" s="151"/>
      <c r="R513" s="151"/>
      <c r="S513" s="151"/>
      <c r="T513" s="151"/>
      <c r="U513" s="151"/>
      <c r="V513" s="151"/>
      <c r="W513" s="151"/>
      <c r="X513" s="151"/>
      <c r="Y513" s="151"/>
      <c r="Z513" s="151"/>
      <c r="AA513" s="151"/>
      <c r="AB513" s="151"/>
      <c r="AC513" s="151"/>
      <c r="AD513" s="151"/>
      <c r="AE513" s="151"/>
      <c r="AF513" s="151"/>
      <c r="AG513" s="151"/>
      <c r="AH513" s="151"/>
      <c r="AI513" s="151"/>
      <c r="AJ513" s="151"/>
      <c r="AK513" s="151"/>
      <c r="AL513" s="151"/>
      <c r="AM513" s="151"/>
      <c r="AN513" s="151"/>
      <c r="AO513" s="151"/>
      <c r="AP513" s="151"/>
      <c r="AQ513" s="151"/>
      <c r="AR513" s="151"/>
      <c r="AS513" s="151"/>
      <c r="AT513" s="151"/>
      <c r="AU513" s="151"/>
      <c r="AV513" s="151"/>
      <c r="AW513" s="151"/>
      <c r="AX513" s="151"/>
      <c r="AY513" s="151"/>
      <c r="AZ513" s="151"/>
      <c r="BA513" s="151"/>
      <c r="BB513" s="151"/>
      <c r="BC513" s="151"/>
      <c r="BD513" s="151"/>
    </row>
    <row r="514" spans="1:56" s="40" customFormat="1" ht="36" x14ac:dyDescent="0.25">
      <c r="A514" s="94" t="s">
        <v>1129</v>
      </c>
      <c r="B514" s="82">
        <v>92420</v>
      </c>
      <c r="C514" s="104" t="s">
        <v>1130</v>
      </c>
      <c r="D514" s="119" t="s">
        <v>29</v>
      </c>
      <c r="E514" s="85">
        <v>300</v>
      </c>
      <c r="F514" s="106">
        <v>83.82</v>
      </c>
      <c r="G514" s="56">
        <f t="shared" si="26"/>
        <v>25145.999999999996</v>
      </c>
      <c r="H514" s="48">
        <f t="shared" si="22"/>
        <v>3.6126970140449937E-3</v>
      </c>
      <c r="I514" s="151"/>
      <c r="J514" s="151"/>
      <c r="K514" s="151"/>
      <c r="L514" s="151"/>
      <c r="M514" s="151"/>
      <c r="N514" s="151"/>
      <c r="O514" s="151"/>
      <c r="P514" s="151"/>
      <c r="Q514" s="151"/>
      <c r="R514" s="151"/>
      <c r="S514" s="151"/>
      <c r="T514" s="151"/>
      <c r="U514" s="151"/>
      <c r="V514" s="151"/>
      <c r="W514" s="151"/>
      <c r="X514" s="151"/>
      <c r="Y514" s="151"/>
      <c r="Z514" s="151"/>
      <c r="AA514" s="151"/>
      <c r="AB514" s="151"/>
      <c r="AC514" s="151"/>
      <c r="AD514" s="151"/>
      <c r="AE514" s="151"/>
      <c r="AF514" s="151"/>
      <c r="AG514" s="151"/>
      <c r="AH514" s="151"/>
      <c r="AI514" s="151"/>
      <c r="AJ514" s="151"/>
      <c r="AK514" s="151"/>
      <c r="AL514" s="151"/>
      <c r="AM514" s="151"/>
      <c r="AN514" s="151"/>
      <c r="AO514" s="151"/>
      <c r="AP514" s="151"/>
      <c r="AQ514" s="151"/>
      <c r="AR514" s="151"/>
      <c r="AS514" s="151"/>
      <c r="AT514" s="151"/>
      <c r="AU514" s="151"/>
      <c r="AV514" s="151"/>
      <c r="AW514" s="151"/>
      <c r="AX514" s="151"/>
      <c r="AY514" s="151"/>
      <c r="AZ514" s="151"/>
      <c r="BA514" s="151"/>
      <c r="BB514" s="151"/>
      <c r="BC514" s="151"/>
      <c r="BD514" s="151"/>
    </row>
    <row r="515" spans="1:56" s="40" customFormat="1" ht="72" x14ac:dyDescent="0.25">
      <c r="A515" s="94" t="s">
        <v>1131</v>
      </c>
      <c r="B515" s="158" t="s">
        <v>1132</v>
      </c>
      <c r="C515" s="107" t="str">
        <f>UPPER("Rampa padrão para acesso de deficientes a passeio público, em concreto simples Fck=25MPa, desempolada, pintada em novacor, 02 demãos e piso tátil de alerta/direcional.")</f>
        <v>RAMPA PADRÃO PARA ACESSO DE DEFICIENTES A PASSEIO PÚBLICO, EM CONCRETO SIMPLES FCK=25MPA, DESEMPOLADA, PINTADA EM NOVACOR, 02 DEMÃOS E PISO TÁTIL DE ALERTA/DIRECIONAL.</v>
      </c>
      <c r="D515" s="69" t="s">
        <v>52</v>
      </c>
      <c r="E515" s="55">
        <v>20</v>
      </c>
      <c r="F515" s="96">
        <v>296.29000000000002</v>
      </c>
      <c r="G515" s="56">
        <f t="shared" si="26"/>
        <v>5925.8</v>
      </c>
      <c r="H515" s="48">
        <f t="shared" si="22"/>
        <v>8.5135289771048385E-4</v>
      </c>
      <c r="I515" s="151"/>
      <c r="J515" s="151"/>
      <c r="K515" s="151"/>
      <c r="L515" s="151"/>
      <c r="M515" s="151"/>
      <c r="N515" s="151"/>
      <c r="O515" s="151"/>
      <c r="P515" s="151"/>
      <c r="Q515" s="151"/>
      <c r="R515" s="151"/>
      <c r="S515" s="151"/>
      <c r="T515" s="151"/>
      <c r="U515" s="151"/>
      <c r="V515" s="151"/>
      <c r="W515" s="151"/>
      <c r="X515" s="151"/>
      <c r="Y515" s="151"/>
      <c r="Z515" s="151"/>
      <c r="AA515" s="151"/>
      <c r="AB515" s="151"/>
      <c r="AC515" s="151"/>
      <c r="AD515" s="151"/>
      <c r="AE515" s="151"/>
      <c r="AF515" s="151"/>
      <c r="AG515" s="151"/>
      <c r="AH515" s="151"/>
      <c r="AI515" s="151"/>
      <c r="AJ515" s="151"/>
      <c r="AK515" s="151"/>
      <c r="AL515" s="151"/>
      <c r="AM515" s="151"/>
      <c r="AN515" s="151"/>
      <c r="AO515" s="151"/>
      <c r="AP515" s="151"/>
      <c r="AQ515" s="151"/>
      <c r="AR515" s="151"/>
      <c r="AS515" s="151"/>
      <c r="AT515" s="151"/>
      <c r="AU515" s="151"/>
      <c r="AV515" s="151"/>
      <c r="AW515" s="151"/>
      <c r="AX515" s="151"/>
      <c r="AY515" s="151"/>
      <c r="AZ515" s="151"/>
      <c r="BA515" s="151"/>
      <c r="BB515" s="151"/>
      <c r="BC515" s="151"/>
      <c r="BD515" s="151"/>
    </row>
    <row r="516" spans="1:56" s="40" customFormat="1" ht="18" x14ac:dyDescent="0.25">
      <c r="A516" s="94" t="s">
        <v>1133</v>
      </c>
      <c r="B516" s="158" t="s">
        <v>1134</v>
      </c>
      <c r="C516" s="107" t="s">
        <v>1135</v>
      </c>
      <c r="D516" s="69" t="s">
        <v>52</v>
      </c>
      <c r="E516" s="55">
        <v>10</v>
      </c>
      <c r="F516" s="96">
        <v>960</v>
      </c>
      <c r="G516" s="56">
        <f t="shared" si="26"/>
        <v>9600</v>
      </c>
      <c r="H516" s="48">
        <f t="shared" si="22"/>
        <v>1.3792210027372919E-3</v>
      </c>
      <c r="I516" s="151"/>
      <c r="J516" s="151"/>
      <c r="K516" s="151"/>
      <c r="L516" s="151"/>
      <c r="M516" s="151"/>
      <c r="N516" s="151"/>
      <c r="O516" s="151"/>
      <c r="P516" s="151"/>
      <c r="Q516" s="151"/>
      <c r="R516" s="151"/>
      <c r="S516" s="151"/>
      <c r="T516" s="151"/>
      <c r="U516" s="151"/>
      <c r="V516" s="151"/>
      <c r="W516" s="151"/>
      <c r="X516" s="151"/>
      <c r="Y516" s="151"/>
      <c r="Z516" s="151"/>
      <c r="AA516" s="151"/>
      <c r="AB516" s="151"/>
      <c r="AC516" s="151"/>
      <c r="AD516" s="151"/>
      <c r="AE516" s="151"/>
      <c r="AF516" s="151"/>
      <c r="AG516" s="151"/>
      <c r="AH516" s="151"/>
      <c r="AI516" s="151"/>
      <c r="AJ516" s="151"/>
      <c r="AK516" s="151"/>
      <c r="AL516" s="151"/>
      <c r="AM516" s="151"/>
      <c r="AN516" s="151"/>
      <c r="AO516" s="151"/>
      <c r="AP516" s="151"/>
      <c r="AQ516" s="151"/>
      <c r="AR516" s="151"/>
      <c r="AS516" s="151"/>
      <c r="AT516" s="151"/>
      <c r="AU516" s="151"/>
      <c r="AV516" s="151"/>
      <c r="AW516" s="151"/>
      <c r="AX516" s="151"/>
      <c r="AY516" s="151"/>
      <c r="AZ516" s="151"/>
      <c r="BA516" s="151"/>
      <c r="BB516" s="151"/>
      <c r="BC516" s="151"/>
      <c r="BD516" s="151"/>
    </row>
    <row r="517" spans="1:56" s="40" customFormat="1" ht="18" x14ac:dyDescent="0.25">
      <c r="A517" s="94" t="s">
        <v>1136</v>
      </c>
      <c r="B517" s="82" t="s">
        <v>1137</v>
      </c>
      <c r="C517" s="80" t="s">
        <v>1138</v>
      </c>
      <c r="D517" s="69" t="s">
        <v>29</v>
      </c>
      <c r="E517" s="55">
        <v>3029.2</v>
      </c>
      <c r="F517" s="96">
        <v>1.74</v>
      </c>
      <c r="G517" s="56">
        <f t="shared" si="26"/>
        <v>5270.808</v>
      </c>
      <c r="H517" s="48">
        <f t="shared" ref="H517:H580" si="27">G517/$G$602</f>
        <v>7.5725094739538957E-4</v>
      </c>
      <c r="I517" s="151"/>
      <c r="J517" s="151"/>
      <c r="K517" s="151"/>
      <c r="L517" s="151"/>
      <c r="M517" s="151"/>
      <c r="N517" s="151"/>
      <c r="O517" s="151"/>
      <c r="P517" s="151"/>
      <c r="Q517" s="151"/>
      <c r="R517" s="151"/>
      <c r="S517" s="151"/>
      <c r="T517" s="151"/>
      <c r="U517" s="151"/>
      <c r="V517" s="151"/>
      <c r="W517" s="151"/>
      <c r="X517" s="151"/>
      <c r="Y517" s="151"/>
      <c r="Z517" s="151"/>
      <c r="AA517" s="151"/>
      <c r="AB517" s="151"/>
      <c r="AC517" s="151"/>
      <c r="AD517" s="151"/>
      <c r="AE517" s="151"/>
      <c r="AF517" s="151"/>
      <c r="AG517" s="151"/>
      <c r="AH517" s="151"/>
      <c r="AI517" s="151"/>
      <c r="AJ517" s="151"/>
      <c r="AK517" s="151"/>
      <c r="AL517" s="151"/>
      <c r="AM517" s="151"/>
      <c r="AN517" s="151"/>
      <c r="AO517" s="151"/>
      <c r="AP517" s="151"/>
      <c r="AQ517" s="151"/>
      <c r="AR517" s="151"/>
      <c r="AS517" s="151"/>
      <c r="AT517" s="151"/>
      <c r="AU517" s="151"/>
      <c r="AV517" s="151"/>
      <c r="AW517" s="151"/>
      <c r="AX517" s="151"/>
      <c r="AY517" s="151"/>
      <c r="AZ517" s="151"/>
      <c r="BA517" s="151"/>
      <c r="BB517" s="151"/>
      <c r="BC517" s="151"/>
      <c r="BD517" s="151"/>
    </row>
    <row r="518" spans="1:56" s="40" customFormat="1" ht="36" customHeight="1" x14ac:dyDescent="0.25">
      <c r="A518" s="94" t="s">
        <v>1139</v>
      </c>
      <c r="B518" s="158">
        <v>100930</v>
      </c>
      <c r="C518" s="107" t="s">
        <v>1140</v>
      </c>
      <c r="D518" s="69" t="s">
        <v>152</v>
      </c>
      <c r="E518" s="55">
        <v>40</v>
      </c>
      <c r="F518" s="96">
        <v>269.83</v>
      </c>
      <c r="G518" s="56">
        <f t="shared" si="26"/>
        <v>10793.199999999999</v>
      </c>
      <c r="H518" s="48">
        <f t="shared" si="27"/>
        <v>1.5506466798691811E-3</v>
      </c>
      <c r="I518" s="151"/>
      <c r="J518" s="151"/>
      <c r="K518" s="151"/>
      <c r="L518" s="151"/>
      <c r="M518" s="151"/>
      <c r="N518" s="151"/>
      <c r="O518" s="151"/>
      <c r="P518" s="151"/>
      <c r="Q518" s="151"/>
      <c r="R518" s="151"/>
      <c r="S518" s="151"/>
      <c r="T518" s="151"/>
      <c r="U518" s="151"/>
      <c r="V518" s="151"/>
      <c r="W518" s="151"/>
      <c r="X518" s="151"/>
      <c r="Y518" s="151"/>
      <c r="Z518" s="151"/>
      <c r="AA518" s="151"/>
      <c r="AB518" s="151"/>
      <c r="AC518" s="151"/>
      <c r="AD518" s="151"/>
      <c r="AE518" s="151"/>
      <c r="AF518" s="151"/>
      <c r="AG518" s="151"/>
      <c r="AH518" s="151"/>
      <c r="AI518" s="151"/>
      <c r="AJ518" s="151"/>
      <c r="AK518" s="151"/>
      <c r="AL518" s="151"/>
      <c r="AM518" s="151"/>
      <c r="AN518" s="151"/>
      <c r="AO518" s="151"/>
      <c r="AP518" s="151"/>
      <c r="AQ518" s="151"/>
      <c r="AR518" s="151"/>
      <c r="AS518" s="151"/>
      <c r="AT518" s="151"/>
      <c r="AU518" s="151"/>
      <c r="AV518" s="151"/>
      <c r="AW518" s="151"/>
      <c r="AX518" s="151"/>
      <c r="AY518" s="151"/>
      <c r="AZ518" s="151"/>
      <c r="BA518" s="151"/>
      <c r="BB518" s="151"/>
      <c r="BC518" s="151"/>
      <c r="BD518" s="151"/>
    </row>
    <row r="519" spans="1:56" s="40" customFormat="1" ht="18" x14ac:dyDescent="0.25">
      <c r="A519" s="94" t="s">
        <v>1141</v>
      </c>
      <c r="B519" s="158">
        <v>87292</v>
      </c>
      <c r="C519" s="107" t="s">
        <v>1142</v>
      </c>
      <c r="D519" s="69" t="s">
        <v>164</v>
      </c>
      <c r="E519" s="55">
        <v>10</v>
      </c>
      <c r="F519" s="96">
        <v>458.93</v>
      </c>
      <c r="G519" s="56">
        <f t="shared" si="26"/>
        <v>4589.3</v>
      </c>
      <c r="H519" s="48">
        <f t="shared" si="27"/>
        <v>6.5933947373565151E-4</v>
      </c>
      <c r="I519" s="151"/>
      <c r="J519" s="151"/>
      <c r="K519" s="151"/>
      <c r="L519" s="151"/>
      <c r="M519" s="151"/>
      <c r="N519" s="151"/>
      <c r="O519" s="151"/>
      <c r="P519" s="151"/>
      <c r="Q519" s="151"/>
      <c r="R519" s="151"/>
      <c r="S519" s="151"/>
      <c r="T519" s="151"/>
      <c r="U519" s="151"/>
      <c r="V519" s="151"/>
      <c r="W519" s="151"/>
      <c r="X519" s="151"/>
      <c r="Y519" s="151"/>
      <c r="Z519" s="151"/>
      <c r="AA519" s="151"/>
      <c r="AB519" s="151"/>
      <c r="AC519" s="151"/>
      <c r="AD519" s="151"/>
      <c r="AE519" s="151"/>
      <c r="AF519" s="151"/>
      <c r="AG519" s="151"/>
      <c r="AH519" s="151"/>
      <c r="AI519" s="151"/>
      <c r="AJ519" s="151"/>
      <c r="AK519" s="151"/>
      <c r="AL519" s="151"/>
      <c r="AM519" s="151"/>
      <c r="AN519" s="151"/>
      <c r="AO519" s="151"/>
      <c r="AP519" s="151"/>
      <c r="AQ519" s="151"/>
      <c r="AR519" s="151"/>
      <c r="AS519" s="151"/>
      <c r="AT519" s="151"/>
      <c r="AU519" s="151"/>
      <c r="AV519" s="151"/>
      <c r="AW519" s="151"/>
      <c r="AX519" s="151"/>
      <c r="AY519" s="151"/>
      <c r="AZ519" s="151"/>
      <c r="BA519" s="151"/>
      <c r="BB519" s="151"/>
      <c r="BC519" s="151"/>
      <c r="BD519" s="151"/>
    </row>
    <row r="520" spans="1:56" s="40" customFormat="1" ht="18" x14ac:dyDescent="0.25">
      <c r="A520" s="94" t="s">
        <v>1143</v>
      </c>
      <c r="B520" s="158" t="s">
        <v>1144</v>
      </c>
      <c r="C520" s="107" t="s">
        <v>1145</v>
      </c>
      <c r="D520" s="69" t="s">
        <v>152</v>
      </c>
      <c r="E520" s="55">
        <v>100</v>
      </c>
      <c r="F520" s="96">
        <v>80.02</v>
      </c>
      <c r="G520" s="56">
        <f t="shared" si="26"/>
        <v>8002</v>
      </c>
      <c r="H520" s="48">
        <f t="shared" si="27"/>
        <v>1.1496381733233135E-3</v>
      </c>
      <c r="I520" s="151"/>
      <c r="J520" s="151"/>
      <c r="K520" s="151"/>
      <c r="L520" s="151"/>
      <c r="M520" s="151"/>
      <c r="N520" s="151"/>
      <c r="O520" s="151"/>
      <c r="P520" s="151"/>
      <c r="Q520" s="151"/>
      <c r="R520" s="151"/>
      <c r="S520" s="151"/>
      <c r="T520" s="151"/>
      <c r="U520" s="151"/>
      <c r="V520" s="151"/>
      <c r="W520" s="151"/>
      <c r="X520" s="151"/>
      <c r="Y520" s="151"/>
      <c r="Z520" s="151"/>
      <c r="AA520" s="151"/>
      <c r="AB520" s="151"/>
      <c r="AC520" s="151"/>
      <c r="AD520" s="151"/>
      <c r="AE520" s="151"/>
      <c r="AF520" s="151"/>
      <c r="AG520" s="151"/>
      <c r="AH520" s="151"/>
      <c r="AI520" s="151"/>
      <c r="AJ520" s="151"/>
      <c r="AK520" s="151"/>
      <c r="AL520" s="151"/>
      <c r="AM520" s="151"/>
      <c r="AN520" s="151"/>
      <c r="AO520" s="151"/>
      <c r="AP520" s="151"/>
      <c r="AQ520" s="151"/>
      <c r="AR520" s="151"/>
      <c r="AS520" s="151"/>
      <c r="AT520" s="151"/>
      <c r="AU520" s="151"/>
      <c r="AV520" s="151"/>
      <c r="AW520" s="151"/>
      <c r="AX520" s="151"/>
      <c r="AY520" s="151"/>
      <c r="AZ520" s="151"/>
      <c r="BA520" s="151"/>
      <c r="BB520" s="151"/>
      <c r="BC520" s="151"/>
      <c r="BD520" s="151"/>
    </row>
    <row r="521" spans="1:56" s="40" customFormat="1" ht="54" x14ac:dyDescent="0.25">
      <c r="A521" s="94" t="s">
        <v>1146</v>
      </c>
      <c r="B521" s="158">
        <v>89701</v>
      </c>
      <c r="C521" s="107" t="s">
        <v>1147</v>
      </c>
      <c r="D521" s="69" t="s">
        <v>404</v>
      </c>
      <c r="E521" s="55">
        <v>15</v>
      </c>
      <c r="F521" s="96">
        <v>105.68</v>
      </c>
      <c r="G521" s="56">
        <f t="shared" si="26"/>
        <v>1585.2</v>
      </c>
      <c r="H521" s="48">
        <f t="shared" si="27"/>
        <v>2.2774386807699535E-4</v>
      </c>
      <c r="I521" s="151"/>
      <c r="J521" s="151"/>
      <c r="K521" s="151"/>
      <c r="L521" s="151"/>
      <c r="M521" s="151"/>
      <c r="N521" s="151"/>
      <c r="O521" s="151"/>
      <c r="P521" s="151"/>
      <c r="Q521" s="151"/>
      <c r="R521" s="151"/>
      <c r="S521" s="151"/>
      <c r="T521" s="151"/>
      <c r="U521" s="151"/>
      <c r="V521" s="151"/>
      <c r="W521" s="151"/>
      <c r="X521" s="151"/>
      <c r="Y521" s="151"/>
      <c r="Z521" s="151"/>
      <c r="AA521" s="151"/>
      <c r="AB521" s="151"/>
      <c r="AC521" s="151"/>
      <c r="AD521" s="151"/>
      <c r="AE521" s="151"/>
      <c r="AF521" s="151"/>
      <c r="AG521" s="151"/>
      <c r="AH521" s="151"/>
      <c r="AI521" s="151"/>
      <c r="AJ521" s="151"/>
      <c r="AK521" s="151"/>
      <c r="AL521" s="151"/>
      <c r="AM521" s="151"/>
      <c r="AN521" s="151"/>
      <c r="AO521" s="151"/>
      <c r="AP521" s="151"/>
      <c r="AQ521" s="151"/>
      <c r="AR521" s="151"/>
      <c r="AS521" s="151"/>
      <c r="AT521" s="151"/>
      <c r="AU521" s="151"/>
      <c r="AV521" s="151"/>
      <c r="AW521" s="151"/>
      <c r="AX521" s="151"/>
      <c r="AY521" s="151"/>
      <c r="AZ521" s="151"/>
      <c r="BA521" s="151"/>
      <c r="BB521" s="151"/>
      <c r="BC521" s="151"/>
      <c r="BD521" s="151"/>
    </row>
    <row r="522" spans="1:56" s="40" customFormat="1" ht="54" x14ac:dyDescent="0.25">
      <c r="A522" s="94" t="s">
        <v>1148</v>
      </c>
      <c r="B522" s="158">
        <v>89590</v>
      </c>
      <c r="C522" s="107" t="s">
        <v>1149</v>
      </c>
      <c r="D522" s="69" t="s">
        <v>404</v>
      </c>
      <c r="E522" s="55">
        <v>15</v>
      </c>
      <c r="F522" s="96">
        <v>78.08</v>
      </c>
      <c r="G522" s="56">
        <f t="shared" si="26"/>
        <v>1171.2</v>
      </c>
      <c r="H522" s="48">
        <f t="shared" si="27"/>
        <v>1.6826496233394962E-4</v>
      </c>
      <c r="I522" s="151"/>
      <c r="J522" s="151"/>
      <c r="K522" s="151"/>
      <c r="L522" s="151"/>
      <c r="M522" s="151"/>
      <c r="N522" s="151"/>
      <c r="O522" s="151"/>
      <c r="P522" s="151"/>
      <c r="Q522" s="151"/>
      <c r="R522" s="151"/>
      <c r="S522" s="151"/>
      <c r="T522" s="151"/>
      <c r="U522" s="151"/>
      <c r="V522" s="151"/>
      <c r="W522" s="151"/>
      <c r="X522" s="151"/>
      <c r="Y522" s="151"/>
      <c r="Z522" s="151"/>
      <c r="AA522" s="151"/>
      <c r="AB522" s="151"/>
      <c r="AC522" s="151"/>
      <c r="AD522" s="151"/>
      <c r="AE522" s="151"/>
      <c r="AF522" s="151"/>
      <c r="AG522" s="151"/>
      <c r="AH522" s="151"/>
      <c r="AI522" s="151"/>
      <c r="AJ522" s="151"/>
      <c r="AK522" s="151"/>
      <c r="AL522" s="151"/>
      <c r="AM522" s="151"/>
      <c r="AN522" s="151"/>
      <c r="AO522" s="151"/>
      <c r="AP522" s="151"/>
      <c r="AQ522" s="151"/>
      <c r="AR522" s="151"/>
      <c r="AS522" s="151"/>
      <c r="AT522" s="151"/>
      <c r="AU522" s="151"/>
      <c r="AV522" s="151"/>
      <c r="AW522" s="151"/>
      <c r="AX522" s="151"/>
      <c r="AY522" s="151"/>
      <c r="AZ522" s="151"/>
      <c r="BA522" s="151"/>
      <c r="BB522" s="151"/>
      <c r="BC522" s="151"/>
      <c r="BD522" s="151"/>
    </row>
    <row r="523" spans="1:56" s="40" customFormat="1" ht="18" x14ac:dyDescent="0.25">
      <c r="A523" s="94" t="s">
        <v>1150</v>
      </c>
      <c r="B523" s="158" t="s">
        <v>1151</v>
      </c>
      <c r="C523" s="107" t="s">
        <v>1152</v>
      </c>
      <c r="D523" s="69" t="s">
        <v>152</v>
      </c>
      <c r="E523" s="55">
        <v>20</v>
      </c>
      <c r="F523" s="96">
        <v>98.44</v>
      </c>
      <c r="G523" s="56">
        <f t="shared" si="26"/>
        <v>1968.8</v>
      </c>
      <c r="H523" s="48">
        <f t="shared" si="27"/>
        <v>2.828552406447063E-4</v>
      </c>
      <c r="I523" s="151"/>
      <c r="J523" s="151"/>
      <c r="K523" s="151"/>
      <c r="L523" s="151"/>
      <c r="M523" s="151"/>
      <c r="N523" s="151"/>
      <c r="O523" s="151"/>
      <c r="P523" s="151"/>
      <c r="Q523" s="151"/>
      <c r="R523" s="151"/>
      <c r="S523" s="151"/>
      <c r="T523" s="151"/>
      <c r="U523" s="151"/>
      <c r="V523" s="151"/>
      <c r="W523" s="151"/>
      <c r="X523" s="151"/>
      <c r="Y523" s="151"/>
      <c r="Z523" s="151"/>
      <c r="AA523" s="151"/>
      <c r="AB523" s="151"/>
      <c r="AC523" s="151"/>
      <c r="AD523" s="151"/>
      <c r="AE523" s="151"/>
      <c r="AF523" s="151"/>
      <c r="AG523" s="151"/>
      <c r="AH523" s="151"/>
      <c r="AI523" s="151"/>
      <c r="AJ523" s="151"/>
      <c r="AK523" s="151"/>
      <c r="AL523" s="151"/>
      <c r="AM523" s="151"/>
      <c r="AN523" s="151"/>
      <c r="AO523" s="151"/>
      <c r="AP523" s="151"/>
      <c r="AQ523" s="151"/>
      <c r="AR523" s="151"/>
      <c r="AS523" s="151"/>
      <c r="AT523" s="151"/>
      <c r="AU523" s="151"/>
      <c r="AV523" s="151"/>
      <c r="AW523" s="151"/>
      <c r="AX523" s="151"/>
      <c r="AY523" s="151"/>
      <c r="AZ523" s="151"/>
      <c r="BA523" s="151"/>
      <c r="BB523" s="151"/>
      <c r="BC523" s="151"/>
      <c r="BD523" s="151"/>
    </row>
    <row r="524" spans="1:56" s="40" customFormat="1" ht="36" x14ac:dyDescent="0.25">
      <c r="A524" s="94" t="s">
        <v>1153</v>
      </c>
      <c r="B524" s="158" t="s">
        <v>1154</v>
      </c>
      <c r="C524" s="107" t="s">
        <v>1155</v>
      </c>
      <c r="D524" s="69" t="s">
        <v>404</v>
      </c>
      <c r="E524" s="55">
        <v>20</v>
      </c>
      <c r="F524" s="96">
        <v>61.17</v>
      </c>
      <c r="G524" s="56">
        <f t="shared" si="26"/>
        <v>1223.4000000000001</v>
      </c>
      <c r="H524" s="48">
        <f t="shared" si="27"/>
        <v>1.7576447653633366E-4</v>
      </c>
      <c r="I524" s="151"/>
      <c r="J524" s="151"/>
      <c r="K524" s="151"/>
      <c r="L524" s="151"/>
      <c r="M524" s="151"/>
      <c r="N524" s="151"/>
      <c r="O524" s="151"/>
      <c r="P524" s="151"/>
      <c r="Q524" s="151"/>
      <c r="R524" s="151"/>
      <c r="S524" s="151"/>
      <c r="T524" s="151"/>
      <c r="U524" s="151"/>
      <c r="V524" s="151"/>
      <c r="W524" s="151"/>
      <c r="X524" s="151"/>
      <c r="Y524" s="151"/>
      <c r="Z524" s="151"/>
      <c r="AA524" s="151"/>
      <c r="AB524" s="151"/>
      <c r="AC524" s="151"/>
      <c r="AD524" s="151"/>
      <c r="AE524" s="151"/>
      <c r="AF524" s="151"/>
      <c r="AG524" s="151"/>
      <c r="AH524" s="151"/>
      <c r="AI524" s="151"/>
      <c r="AJ524" s="151"/>
      <c r="AK524" s="151"/>
      <c r="AL524" s="151"/>
      <c r="AM524" s="151"/>
      <c r="AN524" s="151"/>
      <c r="AO524" s="151"/>
      <c r="AP524" s="151"/>
      <c r="AQ524" s="151"/>
      <c r="AR524" s="151"/>
      <c r="AS524" s="151"/>
      <c r="AT524" s="151"/>
      <c r="AU524" s="151"/>
      <c r="AV524" s="151"/>
      <c r="AW524" s="151"/>
      <c r="AX524" s="151"/>
      <c r="AY524" s="151"/>
      <c r="AZ524" s="151"/>
      <c r="BA524" s="151"/>
      <c r="BB524" s="151"/>
      <c r="BC524" s="151"/>
      <c r="BD524" s="151"/>
    </row>
    <row r="525" spans="1:56" s="40" customFormat="1" ht="18" x14ac:dyDescent="0.25">
      <c r="A525" s="94" t="s">
        <v>1156</v>
      </c>
      <c r="B525" s="158">
        <v>98458</v>
      </c>
      <c r="C525" s="107" t="s">
        <v>1157</v>
      </c>
      <c r="D525" s="69" t="s">
        <v>148</v>
      </c>
      <c r="E525" s="55">
        <v>100</v>
      </c>
      <c r="F525" s="96">
        <v>83.06</v>
      </c>
      <c r="G525" s="56">
        <f t="shared" si="26"/>
        <v>8306</v>
      </c>
      <c r="H525" s="48">
        <f t="shared" si="27"/>
        <v>1.1933135050766611E-3</v>
      </c>
      <c r="I525" s="151"/>
      <c r="J525" s="151"/>
      <c r="K525" s="151"/>
      <c r="L525" s="151"/>
      <c r="M525" s="151"/>
      <c r="N525" s="151"/>
      <c r="O525" s="151"/>
      <c r="P525" s="151"/>
      <c r="Q525" s="151"/>
      <c r="R525" s="151"/>
      <c r="S525" s="151"/>
      <c r="T525" s="151"/>
      <c r="U525" s="151"/>
      <c r="V525" s="151"/>
      <c r="W525" s="151"/>
      <c r="X525" s="151"/>
      <c r="Y525" s="151"/>
      <c r="Z525" s="151"/>
      <c r="AA525" s="151"/>
      <c r="AB525" s="151"/>
      <c r="AC525" s="151"/>
      <c r="AD525" s="151"/>
      <c r="AE525" s="151"/>
      <c r="AF525" s="151"/>
      <c r="AG525" s="151"/>
      <c r="AH525" s="151"/>
      <c r="AI525" s="151"/>
      <c r="AJ525" s="151"/>
      <c r="AK525" s="151"/>
      <c r="AL525" s="151"/>
      <c r="AM525" s="151"/>
      <c r="AN525" s="151"/>
      <c r="AO525" s="151"/>
      <c r="AP525" s="151"/>
      <c r="AQ525" s="151"/>
      <c r="AR525" s="151"/>
      <c r="AS525" s="151"/>
      <c r="AT525" s="151"/>
      <c r="AU525" s="151"/>
      <c r="AV525" s="151"/>
      <c r="AW525" s="151"/>
      <c r="AX525" s="151"/>
      <c r="AY525" s="151"/>
      <c r="AZ525" s="151"/>
      <c r="BA525" s="151"/>
      <c r="BB525" s="151"/>
      <c r="BC525" s="151"/>
      <c r="BD525" s="151"/>
    </row>
    <row r="526" spans="1:56" s="40" customFormat="1" ht="36" x14ac:dyDescent="0.25">
      <c r="A526" s="94" t="s">
        <v>1158</v>
      </c>
      <c r="B526" s="158" t="s">
        <v>1159</v>
      </c>
      <c r="C526" s="107" t="s">
        <v>1160</v>
      </c>
      <c r="D526" s="69" t="s">
        <v>152</v>
      </c>
      <c r="E526" s="55">
        <v>500</v>
      </c>
      <c r="F526" s="96">
        <v>11.61</v>
      </c>
      <c r="G526" s="56">
        <f t="shared" si="26"/>
        <v>5805</v>
      </c>
      <c r="H526" s="48">
        <f t="shared" si="27"/>
        <v>8.339977000927062E-4</v>
      </c>
      <c r="I526" s="151"/>
      <c r="J526" s="151"/>
      <c r="K526" s="151"/>
      <c r="L526" s="151"/>
      <c r="M526" s="151"/>
      <c r="N526" s="151"/>
      <c r="O526" s="151"/>
      <c r="P526" s="151"/>
      <c r="Q526" s="151"/>
      <c r="R526" s="151"/>
      <c r="S526" s="151"/>
      <c r="T526" s="151"/>
      <c r="U526" s="151"/>
      <c r="V526" s="151"/>
      <c r="W526" s="151"/>
      <c r="X526" s="151"/>
      <c r="Y526" s="151"/>
      <c r="Z526" s="151"/>
      <c r="AA526" s="151"/>
      <c r="AB526" s="151"/>
      <c r="AC526" s="151"/>
      <c r="AD526" s="151"/>
      <c r="AE526" s="151"/>
      <c r="AF526" s="151"/>
      <c r="AG526" s="151"/>
      <c r="AH526" s="151"/>
      <c r="AI526" s="151"/>
      <c r="AJ526" s="151"/>
      <c r="AK526" s="151"/>
      <c r="AL526" s="151"/>
      <c r="AM526" s="151"/>
      <c r="AN526" s="151"/>
      <c r="AO526" s="151"/>
      <c r="AP526" s="151"/>
      <c r="AQ526" s="151"/>
      <c r="AR526" s="151"/>
      <c r="AS526" s="151"/>
      <c r="AT526" s="151"/>
      <c r="AU526" s="151"/>
      <c r="AV526" s="151"/>
      <c r="AW526" s="151"/>
      <c r="AX526" s="151"/>
      <c r="AY526" s="151"/>
      <c r="AZ526" s="151"/>
      <c r="BA526" s="151"/>
      <c r="BB526" s="151"/>
      <c r="BC526" s="151"/>
      <c r="BD526" s="151"/>
    </row>
    <row r="527" spans="1:56" s="40" customFormat="1" ht="18" x14ac:dyDescent="0.25">
      <c r="A527" s="94" t="s">
        <v>1161</v>
      </c>
      <c r="B527" s="158" t="s">
        <v>1162</v>
      </c>
      <c r="C527" s="107" t="s">
        <v>1163</v>
      </c>
      <c r="D527" s="69" t="s">
        <v>148</v>
      </c>
      <c r="E527" s="55">
        <v>200</v>
      </c>
      <c r="F527" s="96">
        <v>4.46</v>
      </c>
      <c r="G527" s="56">
        <f t="shared" si="26"/>
        <v>892</v>
      </c>
      <c r="H527" s="48">
        <f t="shared" si="27"/>
        <v>1.2815261817100671E-4</v>
      </c>
      <c r="I527" s="151"/>
      <c r="J527" s="151"/>
      <c r="K527" s="151"/>
      <c r="L527" s="151"/>
      <c r="M527" s="151"/>
      <c r="N527" s="151"/>
      <c r="O527" s="151"/>
      <c r="P527" s="151"/>
      <c r="Q527" s="151"/>
      <c r="R527" s="151"/>
      <c r="S527" s="151"/>
      <c r="T527" s="151"/>
      <c r="U527" s="151"/>
      <c r="V527" s="151"/>
      <c r="W527" s="151"/>
      <c r="X527" s="151"/>
      <c r="Y527" s="151"/>
      <c r="Z527" s="151"/>
      <c r="AA527" s="151"/>
      <c r="AB527" s="151"/>
      <c r="AC527" s="151"/>
      <c r="AD527" s="151"/>
      <c r="AE527" s="151"/>
      <c r="AF527" s="151"/>
      <c r="AG527" s="151"/>
      <c r="AH527" s="151"/>
      <c r="AI527" s="151"/>
      <c r="AJ527" s="151"/>
      <c r="AK527" s="151"/>
      <c r="AL527" s="151"/>
      <c r="AM527" s="151"/>
      <c r="AN527" s="151"/>
      <c r="AO527" s="151"/>
      <c r="AP527" s="151"/>
      <c r="AQ527" s="151"/>
      <c r="AR527" s="151"/>
      <c r="AS527" s="151"/>
      <c r="AT527" s="151"/>
      <c r="AU527" s="151"/>
      <c r="AV527" s="151"/>
      <c r="AW527" s="151"/>
      <c r="AX527" s="151"/>
      <c r="AY527" s="151"/>
      <c r="AZ527" s="151"/>
      <c r="BA527" s="151"/>
      <c r="BB527" s="151"/>
      <c r="BC527" s="151"/>
      <c r="BD527" s="151"/>
    </row>
    <row r="528" spans="1:56" s="40" customFormat="1" ht="36" x14ac:dyDescent="0.25">
      <c r="A528" s="94" t="s">
        <v>1164</v>
      </c>
      <c r="B528" s="158" t="s">
        <v>1165</v>
      </c>
      <c r="C528" s="107" t="s">
        <v>1166</v>
      </c>
      <c r="D528" s="69" t="s">
        <v>152</v>
      </c>
      <c r="E528" s="55">
        <v>50</v>
      </c>
      <c r="F528" s="96">
        <v>107.8</v>
      </c>
      <c r="G528" s="56">
        <f t="shared" si="26"/>
        <v>5390</v>
      </c>
      <c r="H528" s="48">
        <f t="shared" si="27"/>
        <v>7.7437512549520873E-4</v>
      </c>
      <c r="I528" s="151"/>
      <c r="J528" s="151"/>
      <c r="K528" s="151"/>
      <c r="L528" s="151"/>
      <c r="M528" s="151"/>
      <c r="N528" s="151"/>
      <c r="O528" s="151"/>
      <c r="P528" s="151"/>
      <c r="Q528" s="151"/>
      <c r="R528" s="151"/>
      <c r="S528" s="151"/>
      <c r="T528" s="151"/>
      <c r="U528" s="151"/>
      <c r="V528" s="151"/>
      <c r="W528" s="151"/>
      <c r="X528" s="151"/>
      <c r="Y528" s="151"/>
      <c r="Z528" s="151"/>
      <c r="AA528" s="151"/>
      <c r="AB528" s="151"/>
      <c r="AC528" s="151"/>
      <c r="AD528" s="151"/>
      <c r="AE528" s="151"/>
      <c r="AF528" s="151"/>
      <c r="AG528" s="151"/>
      <c r="AH528" s="151"/>
      <c r="AI528" s="151"/>
      <c r="AJ528" s="151"/>
      <c r="AK528" s="151"/>
      <c r="AL528" s="151"/>
      <c r="AM528" s="151"/>
      <c r="AN528" s="151"/>
      <c r="AO528" s="151"/>
      <c r="AP528" s="151"/>
      <c r="AQ528" s="151"/>
      <c r="AR528" s="151"/>
      <c r="AS528" s="151"/>
      <c r="AT528" s="151"/>
      <c r="AU528" s="151"/>
      <c r="AV528" s="151"/>
      <c r="AW528" s="151"/>
      <c r="AX528" s="151"/>
      <c r="AY528" s="151"/>
      <c r="AZ528" s="151"/>
      <c r="BA528" s="151"/>
      <c r="BB528" s="151"/>
      <c r="BC528" s="151"/>
      <c r="BD528" s="151"/>
    </row>
    <row r="529" spans="1:56" s="40" customFormat="1" ht="18" x14ac:dyDescent="0.25">
      <c r="A529" s="94" t="s">
        <v>1167</v>
      </c>
      <c r="B529" s="158" t="s">
        <v>1168</v>
      </c>
      <c r="C529" s="107" t="s">
        <v>1169</v>
      </c>
      <c r="D529" s="69" t="s">
        <v>152</v>
      </c>
      <c r="E529" s="55">
        <v>70</v>
      </c>
      <c r="F529" s="96">
        <v>129.56</v>
      </c>
      <c r="G529" s="56">
        <f t="shared" si="26"/>
        <v>9069.2000000000007</v>
      </c>
      <c r="H529" s="48">
        <f t="shared" si="27"/>
        <v>1.302961574794276E-3</v>
      </c>
      <c r="I529" s="151"/>
      <c r="J529" s="151"/>
      <c r="K529" s="151"/>
      <c r="L529" s="151"/>
      <c r="M529" s="151"/>
      <c r="N529" s="151"/>
      <c r="O529" s="151"/>
      <c r="P529" s="151"/>
      <c r="Q529" s="151"/>
      <c r="R529" s="151"/>
      <c r="S529" s="151"/>
      <c r="T529" s="151"/>
      <c r="U529" s="151"/>
      <c r="V529" s="151"/>
      <c r="W529" s="151"/>
      <c r="X529" s="151"/>
      <c r="Y529" s="151"/>
      <c r="Z529" s="151"/>
      <c r="AA529" s="151"/>
      <c r="AB529" s="151"/>
      <c r="AC529" s="151"/>
      <c r="AD529" s="151"/>
      <c r="AE529" s="151"/>
      <c r="AF529" s="151"/>
      <c r="AG529" s="151"/>
      <c r="AH529" s="151"/>
      <c r="AI529" s="151"/>
      <c r="AJ529" s="151"/>
      <c r="AK529" s="151"/>
      <c r="AL529" s="151"/>
      <c r="AM529" s="151"/>
      <c r="AN529" s="151"/>
      <c r="AO529" s="151"/>
      <c r="AP529" s="151"/>
      <c r="AQ529" s="151"/>
      <c r="AR529" s="151"/>
      <c r="AS529" s="151"/>
      <c r="AT529" s="151"/>
      <c r="AU529" s="151"/>
      <c r="AV529" s="151"/>
      <c r="AW529" s="151"/>
      <c r="AX529" s="151"/>
      <c r="AY529" s="151"/>
      <c r="AZ529" s="151"/>
      <c r="BA529" s="151"/>
      <c r="BB529" s="151"/>
      <c r="BC529" s="151"/>
      <c r="BD529" s="151"/>
    </row>
    <row r="530" spans="1:56" s="40" customFormat="1" ht="54" x14ac:dyDescent="0.25">
      <c r="A530" s="94" t="s">
        <v>1170</v>
      </c>
      <c r="B530" s="158" t="s">
        <v>1171</v>
      </c>
      <c r="C530" s="107" t="s">
        <v>1172</v>
      </c>
      <c r="D530" s="69" t="s">
        <v>404</v>
      </c>
      <c r="E530" s="55">
        <v>4</v>
      </c>
      <c r="F530" s="96">
        <v>415</v>
      </c>
      <c r="G530" s="56">
        <f t="shared" si="26"/>
        <v>1660</v>
      </c>
      <c r="H530" s="48">
        <f t="shared" si="27"/>
        <v>2.3849029838999007E-4</v>
      </c>
      <c r="I530" s="151"/>
      <c r="J530" s="151"/>
      <c r="K530" s="151"/>
      <c r="L530" s="151"/>
      <c r="M530" s="151"/>
      <c r="N530" s="151"/>
      <c r="O530" s="151"/>
      <c r="P530" s="151"/>
      <c r="Q530" s="151"/>
      <c r="R530" s="151"/>
      <c r="S530" s="151"/>
      <c r="T530" s="151"/>
      <c r="U530" s="151"/>
      <c r="V530" s="151"/>
      <c r="W530" s="151"/>
      <c r="X530" s="151"/>
      <c r="Y530" s="151"/>
      <c r="Z530" s="151"/>
      <c r="AA530" s="151"/>
      <c r="AB530" s="151"/>
      <c r="AC530" s="151"/>
      <c r="AD530" s="151"/>
      <c r="AE530" s="151"/>
      <c r="AF530" s="151"/>
      <c r="AG530" s="151"/>
      <c r="AH530" s="151"/>
      <c r="AI530" s="151"/>
      <c r="AJ530" s="151"/>
      <c r="AK530" s="151"/>
      <c r="AL530" s="151"/>
      <c r="AM530" s="151"/>
      <c r="AN530" s="151"/>
      <c r="AO530" s="151"/>
      <c r="AP530" s="151"/>
      <c r="AQ530" s="151"/>
      <c r="AR530" s="151"/>
      <c r="AS530" s="151"/>
      <c r="AT530" s="151"/>
      <c r="AU530" s="151"/>
      <c r="AV530" s="151"/>
      <c r="AW530" s="151"/>
      <c r="AX530" s="151"/>
      <c r="AY530" s="151"/>
      <c r="AZ530" s="151"/>
      <c r="BA530" s="151"/>
      <c r="BB530" s="151"/>
      <c r="BC530" s="151"/>
      <c r="BD530" s="151"/>
    </row>
    <row r="531" spans="1:56" s="40" customFormat="1" ht="36" x14ac:dyDescent="0.25">
      <c r="A531" s="94" t="s">
        <v>1173</v>
      </c>
      <c r="B531" s="158" t="s">
        <v>1174</v>
      </c>
      <c r="C531" s="107" t="s">
        <v>1175</v>
      </c>
      <c r="D531" s="69" t="s">
        <v>404</v>
      </c>
      <c r="E531" s="55">
        <v>2</v>
      </c>
      <c r="F531" s="96">
        <v>137.63999999999999</v>
      </c>
      <c r="G531" s="56">
        <f t="shared" si="26"/>
        <v>275.27999999999997</v>
      </c>
      <c r="H531" s="48">
        <f t="shared" si="27"/>
        <v>3.9549162253491842E-5</v>
      </c>
      <c r="I531" s="151"/>
      <c r="J531" s="151"/>
      <c r="K531" s="151"/>
      <c r="L531" s="151"/>
      <c r="M531" s="151"/>
      <c r="N531" s="151"/>
      <c r="O531" s="151"/>
      <c r="P531" s="151"/>
      <c r="Q531" s="151"/>
      <c r="R531" s="151"/>
      <c r="S531" s="151"/>
      <c r="T531" s="151"/>
      <c r="U531" s="151"/>
      <c r="V531" s="151"/>
      <c r="W531" s="151"/>
      <c r="X531" s="151"/>
      <c r="Y531" s="151"/>
      <c r="Z531" s="151"/>
      <c r="AA531" s="151"/>
      <c r="AB531" s="151"/>
      <c r="AC531" s="151"/>
      <c r="AD531" s="151"/>
      <c r="AE531" s="151"/>
      <c r="AF531" s="151"/>
      <c r="AG531" s="151"/>
      <c r="AH531" s="151"/>
      <c r="AI531" s="151"/>
      <c r="AJ531" s="151"/>
      <c r="AK531" s="151"/>
      <c r="AL531" s="151"/>
      <c r="AM531" s="151"/>
      <c r="AN531" s="151"/>
      <c r="AO531" s="151"/>
      <c r="AP531" s="151"/>
      <c r="AQ531" s="151"/>
      <c r="AR531" s="151"/>
      <c r="AS531" s="151"/>
      <c r="AT531" s="151"/>
      <c r="AU531" s="151"/>
      <c r="AV531" s="151"/>
      <c r="AW531" s="151"/>
      <c r="AX531" s="151"/>
      <c r="AY531" s="151"/>
      <c r="AZ531" s="151"/>
      <c r="BA531" s="151"/>
      <c r="BB531" s="151"/>
      <c r="BC531" s="151"/>
      <c r="BD531" s="151"/>
    </row>
    <row r="532" spans="1:56" s="40" customFormat="1" ht="54" x14ac:dyDescent="0.25">
      <c r="A532" s="94" t="s">
        <v>1176</v>
      </c>
      <c r="B532" s="158">
        <v>11145</v>
      </c>
      <c r="C532" s="107" t="s">
        <v>1177</v>
      </c>
      <c r="D532" s="69" t="s">
        <v>164</v>
      </c>
      <c r="E532" s="55">
        <v>40</v>
      </c>
      <c r="F532" s="96">
        <v>345</v>
      </c>
      <c r="G532" s="56">
        <f t="shared" si="26"/>
        <v>13800</v>
      </c>
      <c r="H532" s="48">
        <f t="shared" si="27"/>
        <v>1.9826301914348571E-3</v>
      </c>
      <c r="I532" s="151"/>
      <c r="J532" s="151"/>
      <c r="K532" s="151"/>
      <c r="L532" s="151"/>
      <c r="M532" s="151"/>
      <c r="N532" s="151"/>
      <c r="O532" s="151"/>
      <c r="P532" s="151"/>
      <c r="Q532" s="151"/>
      <c r="R532" s="151"/>
      <c r="S532" s="151"/>
      <c r="T532" s="151"/>
      <c r="U532" s="151"/>
      <c r="V532" s="151"/>
      <c r="W532" s="151"/>
      <c r="X532" s="151"/>
      <c r="Y532" s="151"/>
      <c r="Z532" s="151"/>
      <c r="AA532" s="151"/>
      <c r="AB532" s="151"/>
      <c r="AC532" s="151"/>
      <c r="AD532" s="151"/>
      <c r="AE532" s="151"/>
      <c r="AF532" s="151"/>
      <c r="AG532" s="151"/>
      <c r="AH532" s="151"/>
      <c r="AI532" s="151"/>
      <c r="AJ532" s="151"/>
      <c r="AK532" s="151"/>
      <c r="AL532" s="151"/>
      <c r="AM532" s="151"/>
      <c r="AN532" s="151"/>
      <c r="AO532" s="151"/>
      <c r="AP532" s="151"/>
      <c r="AQ532" s="151"/>
      <c r="AR532" s="151"/>
      <c r="AS532" s="151"/>
      <c r="AT532" s="151"/>
      <c r="AU532" s="151"/>
      <c r="AV532" s="151"/>
      <c r="AW532" s="151"/>
      <c r="AX532" s="151"/>
      <c r="AY532" s="151"/>
      <c r="AZ532" s="151"/>
      <c r="BA532" s="151"/>
      <c r="BB532" s="151"/>
      <c r="BC532" s="151"/>
      <c r="BD532" s="151"/>
    </row>
    <row r="533" spans="1:56" s="40" customFormat="1" ht="18" x14ac:dyDescent="0.25">
      <c r="A533" s="94" t="s">
        <v>1178</v>
      </c>
      <c r="B533" s="158">
        <v>92760</v>
      </c>
      <c r="C533" s="107" t="s">
        <v>1179</v>
      </c>
      <c r="D533" s="69" t="s">
        <v>1180</v>
      </c>
      <c r="E533" s="55">
        <v>200</v>
      </c>
      <c r="F533" s="96">
        <v>9.7100000000000009</v>
      </c>
      <c r="G533" s="56">
        <f t="shared" si="26"/>
        <v>1942.0000000000002</v>
      </c>
      <c r="H533" s="48">
        <f t="shared" si="27"/>
        <v>2.7900491534539807E-4</v>
      </c>
      <c r="I533" s="151"/>
      <c r="J533" s="151"/>
      <c r="K533" s="151"/>
      <c r="L533" s="151"/>
      <c r="M533" s="151"/>
      <c r="N533" s="151"/>
      <c r="O533" s="151"/>
      <c r="P533" s="151"/>
      <c r="Q533" s="151"/>
      <c r="R533" s="151"/>
      <c r="S533" s="151"/>
      <c r="T533" s="151"/>
      <c r="U533" s="151"/>
      <c r="V533" s="151"/>
      <c r="W533" s="151"/>
      <c r="X533" s="151"/>
      <c r="Y533" s="151"/>
      <c r="Z533" s="151"/>
      <c r="AA533" s="151"/>
      <c r="AB533" s="151"/>
      <c r="AC533" s="151"/>
      <c r="AD533" s="151"/>
      <c r="AE533" s="151"/>
      <c r="AF533" s="151"/>
      <c r="AG533" s="151"/>
      <c r="AH533" s="151"/>
      <c r="AI533" s="151"/>
      <c r="AJ533" s="151"/>
      <c r="AK533" s="151"/>
      <c r="AL533" s="151"/>
      <c r="AM533" s="151"/>
      <c r="AN533" s="151"/>
      <c r="AO533" s="151"/>
      <c r="AP533" s="151"/>
      <c r="AQ533" s="151"/>
      <c r="AR533" s="151"/>
      <c r="AS533" s="151"/>
      <c r="AT533" s="151"/>
      <c r="AU533" s="151"/>
      <c r="AV533" s="151"/>
      <c r="AW533" s="151"/>
      <c r="AX533" s="151"/>
      <c r="AY533" s="151"/>
      <c r="AZ533" s="151"/>
      <c r="BA533" s="151"/>
      <c r="BB533" s="151"/>
      <c r="BC533" s="151"/>
      <c r="BD533" s="151"/>
    </row>
    <row r="534" spans="1:56" s="40" customFormat="1" ht="18" x14ac:dyDescent="0.25">
      <c r="A534" s="94" t="s">
        <v>1181</v>
      </c>
      <c r="B534" s="158">
        <v>92763</v>
      </c>
      <c r="C534" s="107" t="s">
        <v>1182</v>
      </c>
      <c r="D534" s="69" t="s">
        <v>1180</v>
      </c>
      <c r="E534" s="55">
        <v>400</v>
      </c>
      <c r="F534" s="96">
        <v>6.34</v>
      </c>
      <c r="G534" s="56">
        <f t="shared" si="26"/>
        <v>2536</v>
      </c>
      <c r="H534" s="48">
        <f t="shared" si="27"/>
        <v>3.6434421488976793E-4</v>
      </c>
      <c r="I534" s="151"/>
      <c r="J534" s="151"/>
      <c r="K534" s="151"/>
      <c r="L534" s="151"/>
      <c r="M534" s="151"/>
      <c r="N534" s="151"/>
      <c r="O534" s="151"/>
      <c r="P534" s="151"/>
      <c r="Q534" s="151"/>
      <c r="R534" s="151"/>
      <c r="S534" s="151"/>
      <c r="T534" s="151"/>
      <c r="U534" s="151"/>
      <c r="V534" s="151"/>
      <c r="W534" s="151"/>
      <c r="X534" s="151"/>
      <c r="Y534" s="151"/>
      <c r="Z534" s="151"/>
      <c r="AA534" s="151"/>
      <c r="AB534" s="151"/>
      <c r="AC534" s="151"/>
      <c r="AD534" s="151"/>
      <c r="AE534" s="151"/>
      <c r="AF534" s="151"/>
      <c r="AG534" s="151"/>
      <c r="AH534" s="151"/>
      <c r="AI534" s="151"/>
      <c r="AJ534" s="151"/>
      <c r="AK534" s="151"/>
      <c r="AL534" s="151"/>
      <c r="AM534" s="151"/>
      <c r="AN534" s="151"/>
      <c r="AO534" s="151"/>
      <c r="AP534" s="151"/>
      <c r="AQ534" s="151"/>
      <c r="AR534" s="151"/>
      <c r="AS534" s="151"/>
      <c r="AT534" s="151"/>
      <c r="AU534" s="151"/>
      <c r="AV534" s="151"/>
      <c r="AW534" s="151"/>
      <c r="AX534" s="151"/>
      <c r="AY534" s="151"/>
      <c r="AZ534" s="151"/>
      <c r="BA534" s="151"/>
      <c r="BB534" s="151"/>
      <c r="BC534" s="151"/>
      <c r="BD534" s="151"/>
    </row>
    <row r="535" spans="1:56" s="40" customFormat="1" ht="18" x14ac:dyDescent="0.25">
      <c r="A535" s="94" t="s">
        <v>1183</v>
      </c>
      <c r="B535" s="158">
        <v>92764</v>
      </c>
      <c r="C535" s="107" t="s">
        <v>1184</v>
      </c>
      <c r="D535" s="69" t="s">
        <v>1180</v>
      </c>
      <c r="E535" s="55">
        <v>1000</v>
      </c>
      <c r="F535" s="96">
        <v>5.88</v>
      </c>
      <c r="G535" s="56">
        <f t="shared" si="26"/>
        <v>5880</v>
      </c>
      <c r="H535" s="48">
        <f t="shared" si="27"/>
        <v>8.4477286417659132E-4</v>
      </c>
      <c r="I535" s="151"/>
      <c r="J535" s="151"/>
      <c r="K535" s="151"/>
      <c r="L535" s="151"/>
      <c r="M535" s="151"/>
      <c r="N535" s="151"/>
      <c r="O535" s="151"/>
      <c r="P535" s="151"/>
      <c r="Q535" s="151"/>
      <c r="R535" s="151"/>
      <c r="S535" s="151"/>
      <c r="T535" s="151"/>
      <c r="U535" s="151"/>
      <c r="V535" s="151"/>
      <c r="W535" s="151"/>
      <c r="X535" s="151"/>
      <c r="Y535" s="151"/>
      <c r="Z535" s="151"/>
      <c r="AA535" s="151"/>
      <c r="AB535" s="151"/>
      <c r="AC535" s="151"/>
      <c r="AD535" s="151"/>
      <c r="AE535" s="151"/>
      <c r="AF535" s="151"/>
      <c r="AG535" s="151"/>
      <c r="AH535" s="151"/>
      <c r="AI535" s="151"/>
      <c r="AJ535" s="151"/>
      <c r="AK535" s="151"/>
      <c r="AL535" s="151"/>
      <c r="AM535" s="151"/>
      <c r="AN535" s="151"/>
      <c r="AO535" s="151"/>
      <c r="AP535" s="151"/>
      <c r="AQ535" s="151"/>
      <c r="AR535" s="151"/>
      <c r="AS535" s="151"/>
      <c r="AT535" s="151"/>
      <c r="AU535" s="151"/>
      <c r="AV535" s="151"/>
      <c r="AW535" s="151"/>
      <c r="AX535" s="151"/>
      <c r="AY535" s="151"/>
      <c r="AZ535" s="151"/>
      <c r="BA535" s="151"/>
      <c r="BB535" s="151"/>
      <c r="BC535" s="151"/>
      <c r="BD535" s="151"/>
    </row>
    <row r="536" spans="1:56" s="40" customFormat="1" ht="18" x14ac:dyDescent="0.25">
      <c r="A536" s="94" t="s">
        <v>1185</v>
      </c>
      <c r="B536" s="158">
        <v>92759</v>
      </c>
      <c r="C536" s="107" t="s">
        <v>1186</v>
      </c>
      <c r="D536" s="69" t="s">
        <v>1180</v>
      </c>
      <c r="E536" s="55">
        <v>500</v>
      </c>
      <c r="F536" s="96">
        <v>10.89</v>
      </c>
      <c r="G536" s="56">
        <f t="shared" si="26"/>
        <v>5445</v>
      </c>
      <c r="H536" s="48">
        <f t="shared" si="27"/>
        <v>7.8227691249005773E-4</v>
      </c>
      <c r="I536" s="151"/>
      <c r="J536" s="151"/>
      <c r="K536" s="151"/>
      <c r="L536" s="151"/>
      <c r="M536" s="151"/>
      <c r="N536" s="151"/>
      <c r="O536" s="151"/>
      <c r="P536" s="151"/>
      <c r="Q536" s="151"/>
      <c r="R536" s="151"/>
      <c r="S536" s="151"/>
      <c r="T536" s="151"/>
      <c r="U536" s="151"/>
      <c r="V536" s="151"/>
      <c r="W536" s="151"/>
      <c r="X536" s="151"/>
      <c r="Y536" s="151"/>
      <c r="Z536" s="151"/>
      <c r="AA536" s="151"/>
      <c r="AB536" s="151"/>
      <c r="AC536" s="151"/>
      <c r="AD536" s="151"/>
      <c r="AE536" s="151"/>
      <c r="AF536" s="151"/>
      <c r="AG536" s="151"/>
      <c r="AH536" s="151"/>
      <c r="AI536" s="151"/>
      <c r="AJ536" s="151"/>
      <c r="AK536" s="151"/>
      <c r="AL536" s="151"/>
      <c r="AM536" s="151"/>
      <c r="AN536" s="151"/>
      <c r="AO536" s="151"/>
      <c r="AP536" s="151"/>
      <c r="AQ536" s="151"/>
      <c r="AR536" s="151"/>
      <c r="AS536" s="151"/>
      <c r="AT536" s="151"/>
      <c r="AU536" s="151"/>
      <c r="AV536" s="151"/>
      <c r="AW536" s="151"/>
      <c r="AX536" s="151"/>
      <c r="AY536" s="151"/>
      <c r="AZ536" s="151"/>
      <c r="BA536" s="151"/>
      <c r="BB536" s="151"/>
      <c r="BC536" s="151"/>
      <c r="BD536" s="151"/>
    </row>
    <row r="537" spans="1:56" s="40" customFormat="1" ht="18" x14ac:dyDescent="0.25">
      <c r="A537" s="94" t="s">
        <v>1187</v>
      </c>
      <c r="B537" s="158">
        <v>92767</v>
      </c>
      <c r="C537" s="107" t="s">
        <v>1188</v>
      </c>
      <c r="D537" s="69" t="s">
        <v>1180</v>
      </c>
      <c r="E537" s="55">
        <v>50</v>
      </c>
      <c r="F537" s="96">
        <v>11.1</v>
      </c>
      <c r="G537" s="56">
        <f t="shared" si="26"/>
        <v>555</v>
      </c>
      <c r="H537" s="48">
        <f t="shared" si="27"/>
        <v>7.9736214220749697E-5</v>
      </c>
      <c r="I537" s="151"/>
      <c r="J537" s="151"/>
      <c r="K537" s="151"/>
      <c r="L537" s="151"/>
      <c r="M537" s="151"/>
      <c r="N537" s="151"/>
      <c r="O537" s="151"/>
      <c r="P537" s="151"/>
      <c r="Q537" s="151"/>
      <c r="R537" s="151"/>
      <c r="S537" s="151"/>
      <c r="T537" s="151"/>
      <c r="U537" s="151"/>
      <c r="V537" s="151"/>
      <c r="W537" s="151"/>
      <c r="X537" s="151"/>
      <c r="Y537" s="151"/>
      <c r="Z537" s="151"/>
      <c r="AA537" s="151"/>
      <c r="AB537" s="151"/>
      <c r="AC537" s="151"/>
      <c r="AD537" s="151"/>
      <c r="AE537" s="151"/>
      <c r="AF537" s="151"/>
      <c r="AG537" s="151"/>
      <c r="AH537" s="151"/>
      <c r="AI537" s="151"/>
      <c r="AJ537" s="151"/>
      <c r="AK537" s="151"/>
      <c r="AL537" s="151"/>
      <c r="AM537" s="151"/>
      <c r="AN537" s="151"/>
      <c r="AO537" s="151"/>
      <c r="AP537" s="151"/>
      <c r="AQ537" s="151"/>
      <c r="AR537" s="151"/>
      <c r="AS537" s="151"/>
      <c r="AT537" s="151"/>
      <c r="AU537" s="151"/>
      <c r="AV537" s="151"/>
      <c r="AW537" s="151"/>
      <c r="AX537" s="151"/>
      <c r="AY537" s="151"/>
      <c r="AZ537" s="151"/>
      <c r="BA537" s="151"/>
      <c r="BB537" s="151"/>
      <c r="BC537" s="151"/>
      <c r="BD537" s="151"/>
    </row>
    <row r="538" spans="1:56" s="40" customFormat="1" ht="72" x14ac:dyDescent="0.25">
      <c r="A538" s="94" t="s">
        <v>1189</v>
      </c>
      <c r="B538" s="158" t="s">
        <v>1190</v>
      </c>
      <c r="C538" s="107" t="s">
        <v>1191</v>
      </c>
      <c r="D538" s="69" t="s">
        <v>148</v>
      </c>
      <c r="E538" s="55">
        <v>70</v>
      </c>
      <c r="F538" s="96">
        <v>114.99</v>
      </c>
      <c r="G538" s="56">
        <f t="shared" si="26"/>
        <v>8049.2999999999993</v>
      </c>
      <c r="H538" s="48">
        <f t="shared" si="27"/>
        <v>1.1564337101388836E-3</v>
      </c>
      <c r="I538" s="151"/>
      <c r="J538" s="151"/>
      <c r="K538" s="151"/>
      <c r="L538" s="151"/>
      <c r="M538" s="151"/>
      <c r="N538" s="151"/>
      <c r="O538" s="151"/>
      <c r="P538" s="151"/>
      <c r="Q538" s="151"/>
      <c r="R538" s="151"/>
      <c r="S538" s="151"/>
      <c r="T538" s="151"/>
      <c r="U538" s="151"/>
      <c r="V538" s="151"/>
      <c r="W538" s="151"/>
      <c r="X538" s="151"/>
      <c r="Y538" s="151"/>
      <c r="Z538" s="151"/>
      <c r="AA538" s="151"/>
      <c r="AB538" s="151"/>
      <c r="AC538" s="151"/>
      <c r="AD538" s="151"/>
      <c r="AE538" s="151"/>
      <c r="AF538" s="151"/>
      <c r="AG538" s="151"/>
      <c r="AH538" s="151"/>
      <c r="AI538" s="151"/>
      <c r="AJ538" s="151"/>
      <c r="AK538" s="151"/>
      <c r="AL538" s="151"/>
      <c r="AM538" s="151"/>
      <c r="AN538" s="151"/>
      <c r="AO538" s="151"/>
      <c r="AP538" s="151"/>
      <c r="AQ538" s="151"/>
      <c r="AR538" s="151"/>
      <c r="AS538" s="151"/>
      <c r="AT538" s="151"/>
      <c r="AU538" s="151"/>
      <c r="AV538" s="151"/>
      <c r="AW538" s="151"/>
      <c r="AX538" s="151"/>
      <c r="AY538" s="151"/>
      <c r="AZ538" s="151"/>
      <c r="BA538" s="151"/>
      <c r="BB538" s="151"/>
      <c r="BC538" s="151"/>
      <c r="BD538" s="151"/>
    </row>
    <row r="539" spans="1:56" s="40" customFormat="1" ht="36" x14ac:dyDescent="0.25">
      <c r="A539" s="94" t="s">
        <v>1192</v>
      </c>
      <c r="B539" s="158" t="s">
        <v>1193</v>
      </c>
      <c r="C539" s="107" t="s">
        <v>1194</v>
      </c>
      <c r="D539" s="69" t="s">
        <v>404</v>
      </c>
      <c r="E539" s="55">
        <v>2</v>
      </c>
      <c r="F539" s="96">
        <v>1134.33</v>
      </c>
      <c r="G539" s="56">
        <f t="shared" si="26"/>
        <v>2268.66</v>
      </c>
      <c r="H539" s="48">
        <f t="shared" si="27"/>
        <v>3.2593578334062339E-4</v>
      </c>
      <c r="I539" s="151"/>
      <c r="J539" s="151"/>
      <c r="K539" s="151"/>
      <c r="L539" s="151"/>
      <c r="M539" s="151"/>
      <c r="N539" s="151"/>
      <c r="O539" s="151"/>
      <c r="P539" s="151"/>
      <c r="Q539" s="151"/>
      <c r="R539" s="151"/>
      <c r="S539" s="151"/>
      <c r="T539" s="151"/>
      <c r="U539" s="151"/>
      <c r="V539" s="151"/>
      <c r="W539" s="151"/>
      <c r="X539" s="151"/>
      <c r="Y539" s="151"/>
      <c r="Z539" s="151"/>
      <c r="AA539" s="151"/>
      <c r="AB539" s="151"/>
      <c r="AC539" s="151"/>
      <c r="AD539" s="151"/>
      <c r="AE539" s="151"/>
      <c r="AF539" s="151"/>
      <c r="AG539" s="151"/>
      <c r="AH539" s="151"/>
      <c r="AI539" s="151"/>
      <c r="AJ539" s="151"/>
      <c r="AK539" s="151"/>
      <c r="AL539" s="151"/>
      <c r="AM539" s="151"/>
      <c r="AN539" s="151"/>
      <c r="AO539" s="151"/>
      <c r="AP539" s="151"/>
      <c r="AQ539" s="151"/>
      <c r="AR539" s="151"/>
      <c r="AS539" s="151"/>
      <c r="AT539" s="151"/>
      <c r="AU539" s="151"/>
      <c r="AV539" s="151"/>
      <c r="AW539" s="151"/>
      <c r="AX539" s="151"/>
      <c r="AY539" s="151"/>
      <c r="AZ539" s="151"/>
      <c r="BA539" s="151"/>
      <c r="BB539" s="151"/>
      <c r="BC539" s="151"/>
      <c r="BD539" s="151"/>
    </row>
    <row r="540" spans="1:56" s="40" customFormat="1" ht="90" x14ac:dyDescent="0.25">
      <c r="A540" s="94" t="s">
        <v>1195</v>
      </c>
      <c r="B540" s="158" t="s">
        <v>1196</v>
      </c>
      <c r="C540" s="107" t="s">
        <v>1197</v>
      </c>
      <c r="D540" s="69" t="s">
        <v>404</v>
      </c>
      <c r="E540" s="55">
        <v>10</v>
      </c>
      <c r="F540" s="96">
        <v>695.98</v>
      </c>
      <c r="G540" s="56">
        <f t="shared" si="26"/>
        <v>6959.8</v>
      </c>
      <c r="H540" s="48">
        <f t="shared" si="27"/>
        <v>9.9990649321364642E-4</v>
      </c>
      <c r="I540" s="151"/>
      <c r="J540" s="151"/>
      <c r="K540" s="151"/>
      <c r="L540" s="151"/>
      <c r="M540" s="151"/>
      <c r="N540" s="151"/>
      <c r="O540" s="151"/>
      <c r="P540" s="151"/>
      <c r="Q540" s="151"/>
      <c r="R540" s="151"/>
      <c r="S540" s="151"/>
      <c r="T540" s="151"/>
      <c r="U540" s="151"/>
      <c r="V540" s="151"/>
      <c r="W540" s="151"/>
      <c r="X540" s="151"/>
      <c r="Y540" s="151"/>
      <c r="Z540" s="151"/>
      <c r="AA540" s="151"/>
      <c r="AB540" s="151"/>
      <c r="AC540" s="151"/>
      <c r="AD540" s="151"/>
      <c r="AE540" s="151"/>
      <c r="AF540" s="151"/>
      <c r="AG540" s="151"/>
      <c r="AH540" s="151"/>
      <c r="AI540" s="151"/>
      <c r="AJ540" s="151"/>
      <c r="AK540" s="151"/>
      <c r="AL540" s="151"/>
      <c r="AM540" s="151"/>
      <c r="AN540" s="151"/>
      <c r="AO540" s="151"/>
      <c r="AP540" s="151"/>
      <c r="AQ540" s="151"/>
      <c r="AR540" s="151"/>
      <c r="AS540" s="151"/>
      <c r="AT540" s="151"/>
      <c r="AU540" s="151"/>
      <c r="AV540" s="151"/>
      <c r="AW540" s="151"/>
      <c r="AX540" s="151"/>
      <c r="AY540" s="151"/>
      <c r="AZ540" s="151"/>
      <c r="BA540" s="151"/>
      <c r="BB540" s="151"/>
      <c r="BC540" s="151"/>
      <c r="BD540" s="151"/>
    </row>
    <row r="541" spans="1:56" s="40" customFormat="1" ht="90" x14ac:dyDescent="0.25">
      <c r="A541" s="94" t="s">
        <v>1198</v>
      </c>
      <c r="B541" s="158" t="s">
        <v>1199</v>
      </c>
      <c r="C541" s="107" t="str">
        <f>UPPER("Cuba de aço inox 304, dimensões 35 x 40cm, para instalação em bancada, c/ válvula cromada (deca ref 1623), sifão cromado (deca ref c1680), torneira cromada (deca linha c40 ref 1159) e engate de plástico ou similares")</f>
        <v>CUBA DE AÇO INOX 304, DIMENSÕES 35 X 40CM, PARA INSTALAÇÃO EM BANCADA, C/ VÁLVULA CROMADA (DECA REF 1623), SIFÃO CROMADO (DECA REF C1680), TORNEIRA CROMADA (DECA LINHA C40 REF 1159) E ENGATE DE PLÁSTICO OU SIMILARES</v>
      </c>
      <c r="D541" s="69" t="s">
        <v>404</v>
      </c>
      <c r="E541" s="55">
        <v>10</v>
      </c>
      <c r="F541" s="96">
        <v>412.98</v>
      </c>
      <c r="G541" s="56">
        <f t="shared" si="26"/>
        <v>4129.8</v>
      </c>
      <c r="H541" s="48">
        <f t="shared" si="27"/>
        <v>5.9332363511504886E-4</v>
      </c>
      <c r="I541" s="151"/>
      <c r="J541" s="151"/>
      <c r="K541" s="151"/>
      <c r="L541" s="151"/>
      <c r="M541" s="151"/>
      <c r="N541" s="151"/>
      <c r="O541" s="151"/>
      <c r="P541" s="151"/>
      <c r="Q541" s="151"/>
      <c r="R541" s="151"/>
      <c r="S541" s="151"/>
      <c r="T541" s="151"/>
      <c r="U541" s="151"/>
      <c r="V541" s="151"/>
      <c r="W541" s="151"/>
      <c r="X541" s="151"/>
      <c r="Y541" s="151"/>
      <c r="Z541" s="151"/>
      <c r="AA541" s="151"/>
      <c r="AB541" s="151"/>
      <c r="AC541" s="151"/>
      <c r="AD541" s="151"/>
      <c r="AE541" s="151"/>
      <c r="AF541" s="151"/>
      <c r="AG541" s="151"/>
      <c r="AH541" s="151"/>
      <c r="AI541" s="151"/>
      <c r="AJ541" s="151"/>
      <c r="AK541" s="151"/>
      <c r="AL541" s="151"/>
      <c r="AM541" s="151"/>
      <c r="AN541" s="151"/>
      <c r="AO541" s="151"/>
      <c r="AP541" s="151"/>
      <c r="AQ541" s="151"/>
      <c r="AR541" s="151"/>
      <c r="AS541" s="151"/>
      <c r="AT541" s="151"/>
      <c r="AU541" s="151"/>
      <c r="AV541" s="151"/>
      <c r="AW541" s="151"/>
      <c r="AX541" s="151"/>
      <c r="AY541" s="151"/>
      <c r="AZ541" s="151"/>
      <c r="BA541" s="151"/>
      <c r="BB541" s="151"/>
      <c r="BC541" s="151"/>
      <c r="BD541" s="151"/>
    </row>
    <row r="542" spans="1:56" s="40" customFormat="1" ht="90" x14ac:dyDescent="0.25">
      <c r="A542" s="94" t="s">
        <v>1200</v>
      </c>
      <c r="B542" s="158" t="s">
        <v>1201</v>
      </c>
      <c r="C542" s="107" t="str">
        <f>UPPER("Cuba de aço inox 304, dimensões 60 x 50cm, para instalação em bancada, c/ válvula cromada (deca ref 1623), sifão cromado (deca ref c1680), torneira cromada (deca linha c40 ref1159) e engate de plástico ou similares")</f>
        <v>CUBA DE AÇO INOX 304, DIMENSÕES 60 X 50CM, PARA INSTALAÇÃO EM BANCADA, C/ VÁLVULA CROMADA (DECA REF 1623), SIFÃO CROMADO (DECA REF C1680), TORNEIRA CROMADA (DECA LINHA C40 REF1159) E ENGATE DE PLÁSTICO OU SIMILARES</v>
      </c>
      <c r="D542" s="69" t="s">
        <v>404</v>
      </c>
      <c r="E542" s="55">
        <v>5</v>
      </c>
      <c r="F542" s="96">
        <v>1114.54</v>
      </c>
      <c r="G542" s="56">
        <f t="shared" si="26"/>
        <v>5572.7</v>
      </c>
      <c r="H542" s="48">
        <f t="shared" si="27"/>
        <v>8.006234252035528E-4</v>
      </c>
      <c r="I542" s="151"/>
      <c r="J542" s="151"/>
      <c r="K542" s="151"/>
      <c r="L542" s="151"/>
      <c r="M542" s="151"/>
      <c r="N542" s="151"/>
      <c r="O542" s="151"/>
      <c r="P542" s="151"/>
      <c r="Q542" s="151"/>
      <c r="R542" s="151"/>
      <c r="S542" s="151"/>
      <c r="T542" s="151"/>
      <c r="U542" s="151"/>
      <c r="V542" s="151"/>
      <c r="W542" s="151"/>
      <c r="X542" s="151"/>
      <c r="Y542" s="151"/>
      <c r="Z542" s="151"/>
      <c r="AA542" s="151"/>
      <c r="AB542" s="151"/>
      <c r="AC542" s="151"/>
      <c r="AD542" s="151"/>
      <c r="AE542" s="151"/>
      <c r="AF542" s="151"/>
      <c r="AG542" s="151"/>
      <c r="AH542" s="151"/>
      <c r="AI542" s="151"/>
      <c r="AJ542" s="151"/>
      <c r="AK542" s="151"/>
      <c r="AL542" s="151"/>
      <c r="AM542" s="151"/>
      <c r="AN542" s="151"/>
      <c r="AO542" s="151"/>
      <c r="AP542" s="151"/>
      <c r="AQ542" s="151"/>
      <c r="AR542" s="151"/>
      <c r="AS542" s="151"/>
      <c r="AT542" s="151"/>
      <c r="AU542" s="151"/>
      <c r="AV542" s="151"/>
      <c r="AW542" s="151"/>
      <c r="AX542" s="151"/>
      <c r="AY542" s="151"/>
      <c r="AZ542" s="151"/>
      <c r="BA542" s="151"/>
      <c r="BB542" s="151"/>
      <c r="BC542" s="151"/>
      <c r="BD542" s="151"/>
    </row>
    <row r="543" spans="1:56" s="40" customFormat="1" ht="90" x14ac:dyDescent="0.25">
      <c r="A543" s="94" t="s">
        <v>1202</v>
      </c>
      <c r="B543" s="158" t="s">
        <v>1201</v>
      </c>
      <c r="C543" s="107" t="s">
        <v>1203</v>
      </c>
      <c r="D543" s="69" t="s">
        <v>404</v>
      </c>
      <c r="E543" s="55">
        <v>5</v>
      </c>
      <c r="F543" s="96">
        <v>1114.54</v>
      </c>
      <c r="G543" s="56">
        <f t="shared" si="26"/>
        <v>5572.7</v>
      </c>
      <c r="H543" s="48">
        <f t="shared" si="27"/>
        <v>8.006234252035528E-4</v>
      </c>
      <c r="I543" s="151"/>
      <c r="J543" s="151"/>
      <c r="K543" s="151"/>
      <c r="L543" s="151"/>
      <c r="M543" s="151"/>
      <c r="N543" s="151"/>
      <c r="O543" s="151"/>
      <c r="P543" s="151"/>
      <c r="Q543" s="151"/>
      <c r="R543" s="151"/>
      <c r="S543" s="151"/>
      <c r="T543" s="151"/>
      <c r="U543" s="151"/>
      <c r="V543" s="151"/>
      <c r="W543" s="151"/>
      <c r="X543" s="151"/>
      <c r="Y543" s="151"/>
      <c r="Z543" s="151"/>
      <c r="AA543" s="151"/>
      <c r="AB543" s="151"/>
      <c r="AC543" s="151"/>
      <c r="AD543" s="151"/>
      <c r="AE543" s="151"/>
      <c r="AF543" s="151"/>
      <c r="AG543" s="151"/>
      <c r="AH543" s="151"/>
      <c r="AI543" s="151"/>
      <c r="AJ543" s="151"/>
      <c r="AK543" s="151"/>
      <c r="AL543" s="151"/>
      <c r="AM543" s="151"/>
      <c r="AN543" s="151"/>
      <c r="AO543" s="151"/>
      <c r="AP543" s="151"/>
      <c r="AQ543" s="151"/>
      <c r="AR543" s="151"/>
      <c r="AS543" s="151"/>
      <c r="AT543" s="151"/>
      <c r="AU543" s="151"/>
      <c r="AV543" s="151"/>
      <c r="AW543" s="151"/>
      <c r="AX543" s="151"/>
      <c r="AY543" s="151"/>
      <c r="AZ543" s="151"/>
      <c r="BA543" s="151"/>
      <c r="BB543" s="151"/>
      <c r="BC543" s="151"/>
      <c r="BD543" s="151"/>
    </row>
    <row r="544" spans="1:56" s="40" customFormat="1" ht="72" x14ac:dyDescent="0.25">
      <c r="A544" s="94" t="s">
        <v>1204</v>
      </c>
      <c r="B544" s="158" t="s">
        <v>1205</v>
      </c>
      <c r="C544" s="107" t="s">
        <v>1206</v>
      </c>
      <c r="D544" s="69" t="s">
        <v>404</v>
      </c>
      <c r="E544" s="55">
        <v>5</v>
      </c>
      <c r="F544" s="96">
        <v>1674.48</v>
      </c>
      <c r="G544" s="56">
        <f t="shared" si="26"/>
        <v>8372.4</v>
      </c>
      <c r="H544" s="48">
        <f t="shared" si="27"/>
        <v>1.2028531170122606E-3</v>
      </c>
      <c r="I544" s="151"/>
      <c r="J544" s="151"/>
      <c r="K544" s="151"/>
      <c r="L544" s="151"/>
      <c r="M544" s="151"/>
      <c r="N544" s="151"/>
      <c r="O544" s="151"/>
      <c r="P544" s="151"/>
      <c r="Q544" s="151"/>
      <c r="R544" s="151"/>
      <c r="S544" s="151"/>
      <c r="T544" s="151"/>
      <c r="U544" s="151"/>
      <c r="V544" s="151"/>
      <c r="W544" s="151"/>
      <c r="X544" s="151"/>
      <c r="Y544" s="151"/>
      <c r="Z544" s="151"/>
      <c r="AA544" s="151"/>
      <c r="AB544" s="151"/>
      <c r="AC544" s="151"/>
      <c r="AD544" s="151"/>
      <c r="AE544" s="151"/>
      <c r="AF544" s="151"/>
      <c r="AG544" s="151"/>
      <c r="AH544" s="151"/>
      <c r="AI544" s="151"/>
      <c r="AJ544" s="151"/>
      <c r="AK544" s="151"/>
      <c r="AL544" s="151"/>
      <c r="AM544" s="151"/>
      <c r="AN544" s="151"/>
      <c r="AO544" s="151"/>
      <c r="AP544" s="151"/>
      <c r="AQ544" s="151"/>
      <c r="AR544" s="151"/>
      <c r="AS544" s="151"/>
      <c r="AT544" s="151"/>
      <c r="AU544" s="151"/>
      <c r="AV544" s="151"/>
      <c r="AW544" s="151"/>
      <c r="AX544" s="151"/>
      <c r="AY544" s="151"/>
      <c r="AZ544" s="151"/>
      <c r="BA544" s="151"/>
      <c r="BB544" s="151"/>
      <c r="BC544" s="151"/>
      <c r="BD544" s="151"/>
    </row>
    <row r="545" spans="1:56" s="40" customFormat="1" ht="36" x14ac:dyDescent="0.25">
      <c r="A545" s="94" t="s">
        <v>1207</v>
      </c>
      <c r="B545" s="158">
        <v>100751</v>
      </c>
      <c r="C545" s="107" t="s">
        <v>1208</v>
      </c>
      <c r="D545" s="69" t="s">
        <v>148</v>
      </c>
      <c r="E545" s="55">
        <v>500</v>
      </c>
      <c r="F545" s="96">
        <v>29.73</v>
      </c>
      <c r="G545" s="56">
        <f t="shared" si="26"/>
        <v>14865</v>
      </c>
      <c r="H545" s="48">
        <f t="shared" si="27"/>
        <v>2.1356375214260253E-3</v>
      </c>
      <c r="I545" s="151"/>
      <c r="J545" s="151"/>
      <c r="K545" s="151"/>
      <c r="L545" s="151"/>
      <c r="M545" s="151"/>
      <c r="N545" s="151"/>
      <c r="O545" s="151"/>
      <c r="P545" s="151"/>
      <c r="Q545" s="151"/>
      <c r="R545" s="151"/>
      <c r="S545" s="151"/>
      <c r="T545" s="151"/>
      <c r="U545" s="151"/>
      <c r="V545" s="151"/>
      <c r="W545" s="151"/>
      <c r="X545" s="151"/>
      <c r="Y545" s="151"/>
      <c r="Z545" s="151"/>
      <c r="AA545" s="151"/>
      <c r="AB545" s="151"/>
      <c r="AC545" s="151"/>
      <c r="AD545" s="151"/>
      <c r="AE545" s="151"/>
      <c r="AF545" s="151"/>
      <c r="AG545" s="151"/>
      <c r="AH545" s="151"/>
      <c r="AI545" s="151"/>
      <c r="AJ545" s="151"/>
      <c r="AK545" s="151"/>
      <c r="AL545" s="151"/>
      <c r="AM545" s="151"/>
      <c r="AN545" s="151"/>
      <c r="AO545" s="151"/>
      <c r="AP545" s="151"/>
      <c r="AQ545" s="151"/>
      <c r="AR545" s="151"/>
      <c r="AS545" s="151"/>
      <c r="AT545" s="151"/>
      <c r="AU545" s="151"/>
      <c r="AV545" s="151"/>
      <c r="AW545" s="151"/>
      <c r="AX545" s="151"/>
      <c r="AY545" s="151"/>
      <c r="AZ545" s="151"/>
      <c r="BA545" s="151"/>
      <c r="BB545" s="151"/>
      <c r="BC545" s="151"/>
      <c r="BD545" s="151"/>
    </row>
    <row r="546" spans="1:56" s="40" customFormat="1" ht="36" x14ac:dyDescent="0.25">
      <c r="A546" s="94" t="s">
        <v>1209</v>
      </c>
      <c r="B546" s="158">
        <v>39749</v>
      </c>
      <c r="C546" s="107" t="s">
        <v>1210</v>
      </c>
      <c r="D546" s="69" t="s">
        <v>152</v>
      </c>
      <c r="E546" s="55">
        <v>200</v>
      </c>
      <c r="F546" s="96">
        <v>65.650000000000006</v>
      </c>
      <c r="G546" s="56">
        <f t="shared" si="26"/>
        <v>13130.000000000002</v>
      </c>
      <c r="H546" s="48">
        <f t="shared" si="27"/>
        <v>1.8863720589521505E-3</v>
      </c>
      <c r="I546" s="151"/>
      <c r="J546" s="151"/>
      <c r="K546" s="151"/>
      <c r="L546" s="151"/>
      <c r="M546" s="151"/>
      <c r="N546" s="151"/>
      <c r="O546" s="151"/>
      <c r="P546" s="151"/>
      <c r="Q546" s="151"/>
      <c r="R546" s="151"/>
      <c r="S546" s="151"/>
      <c r="T546" s="151"/>
      <c r="U546" s="151"/>
      <c r="V546" s="151"/>
      <c r="W546" s="151"/>
      <c r="X546" s="151"/>
      <c r="Y546" s="151"/>
      <c r="Z546" s="151"/>
      <c r="AA546" s="151"/>
      <c r="AB546" s="151"/>
      <c r="AC546" s="151"/>
      <c r="AD546" s="151"/>
      <c r="AE546" s="151"/>
      <c r="AF546" s="151"/>
      <c r="AG546" s="151"/>
      <c r="AH546" s="151"/>
      <c r="AI546" s="151"/>
      <c r="AJ546" s="151"/>
      <c r="AK546" s="151"/>
      <c r="AL546" s="151"/>
      <c r="AM546" s="151"/>
      <c r="AN546" s="151"/>
      <c r="AO546" s="151"/>
      <c r="AP546" s="151"/>
      <c r="AQ546" s="151"/>
      <c r="AR546" s="151"/>
      <c r="AS546" s="151"/>
      <c r="AT546" s="151"/>
      <c r="AU546" s="151"/>
      <c r="AV546" s="151"/>
      <c r="AW546" s="151"/>
      <c r="AX546" s="151"/>
      <c r="AY546" s="151"/>
      <c r="AZ546" s="151"/>
      <c r="BA546" s="151"/>
      <c r="BB546" s="151"/>
      <c r="BC546" s="151"/>
      <c r="BD546" s="151"/>
    </row>
    <row r="547" spans="1:56" s="40" customFormat="1" ht="36" x14ac:dyDescent="0.25">
      <c r="A547" s="94" t="s">
        <v>1211</v>
      </c>
      <c r="B547" s="158">
        <v>39747</v>
      </c>
      <c r="C547" s="107" t="s">
        <v>1212</v>
      </c>
      <c r="D547" s="69" t="s">
        <v>152</v>
      </c>
      <c r="E547" s="55">
        <v>500</v>
      </c>
      <c r="F547" s="96">
        <v>31.89</v>
      </c>
      <c r="G547" s="56">
        <f t="shared" si="26"/>
        <v>15945</v>
      </c>
      <c r="H547" s="48">
        <f t="shared" si="27"/>
        <v>2.2907998842339708E-3</v>
      </c>
      <c r="I547" s="151"/>
      <c r="J547" s="151"/>
      <c r="K547" s="151"/>
      <c r="L547" s="151"/>
      <c r="M547" s="151"/>
      <c r="N547" s="151"/>
      <c r="O547" s="151"/>
      <c r="P547" s="151"/>
      <c r="Q547" s="151"/>
      <c r="R547" s="151"/>
      <c r="S547" s="151"/>
      <c r="T547" s="151"/>
      <c r="U547" s="151"/>
      <c r="V547" s="151"/>
      <c r="W547" s="151"/>
      <c r="X547" s="151"/>
      <c r="Y547" s="151"/>
      <c r="Z547" s="151"/>
      <c r="AA547" s="151"/>
      <c r="AB547" s="151"/>
      <c r="AC547" s="151"/>
      <c r="AD547" s="151"/>
      <c r="AE547" s="151"/>
      <c r="AF547" s="151"/>
      <c r="AG547" s="151"/>
      <c r="AH547" s="151"/>
      <c r="AI547" s="151"/>
      <c r="AJ547" s="151"/>
      <c r="AK547" s="151"/>
      <c r="AL547" s="151"/>
      <c r="AM547" s="151"/>
      <c r="AN547" s="151"/>
      <c r="AO547" s="151"/>
      <c r="AP547" s="151"/>
      <c r="AQ547" s="151"/>
      <c r="AR547" s="151"/>
      <c r="AS547" s="151"/>
      <c r="AT547" s="151"/>
      <c r="AU547" s="151"/>
      <c r="AV547" s="151"/>
      <c r="AW547" s="151"/>
      <c r="AX547" s="151"/>
      <c r="AY547" s="151"/>
      <c r="AZ547" s="151"/>
      <c r="BA547" s="151"/>
      <c r="BB547" s="151"/>
      <c r="BC547" s="151"/>
      <c r="BD547" s="151"/>
    </row>
    <row r="548" spans="1:56" s="40" customFormat="1" ht="36" x14ac:dyDescent="0.25">
      <c r="A548" s="94" t="s">
        <v>1213</v>
      </c>
      <c r="B548" s="158">
        <v>39751</v>
      </c>
      <c r="C548" s="107" t="s">
        <v>1214</v>
      </c>
      <c r="D548" s="69" t="s">
        <v>152</v>
      </c>
      <c r="E548" s="55">
        <v>100</v>
      </c>
      <c r="F548" s="96">
        <v>119.29</v>
      </c>
      <c r="G548" s="56">
        <f t="shared" si="26"/>
        <v>11929</v>
      </c>
      <c r="H548" s="48">
        <f t="shared" si="27"/>
        <v>1.7138257647555371E-3</v>
      </c>
      <c r="I548" s="151"/>
      <c r="J548" s="151"/>
      <c r="K548" s="151"/>
      <c r="L548" s="151"/>
      <c r="M548" s="151"/>
      <c r="N548" s="151"/>
      <c r="O548" s="151"/>
      <c r="P548" s="151"/>
      <c r="Q548" s="151"/>
      <c r="R548" s="151"/>
      <c r="S548" s="151"/>
      <c r="T548" s="151"/>
      <c r="U548" s="151"/>
      <c r="V548" s="151"/>
      <c r="W548" s="151"/>
      <c r="X548" s="151"/>
      <c r="Y548" s="151"/>
      <c r="Z548" s="151"/>
      <c r="AA548" s="151"/>
      <c r="AB548" s="151"/>
      <c r="AC548" s="151"/>
      <c r="AD548" s="151"/>
      <c r="AE548" s="151"/>
      <c r="AF548" s="151"/>
      <c r="AG548" s="151"/>
      <c r="AH548" s="151"/>
      <c r="AI548" s="151"/>
      <c r="AJ548" s="151"/>
      <c r="AK548" s="151"/>
      <c r="AL548" s="151"/>
      <c r="AM548" s="151"/>
      <c r="AN548" s="151"/>
      <c r="AO548" s="151"/>
      <c r="AP548" s="151"/>
      <c r="AQ548" s="151"/>
      <c r="AR548" s="151"/>
      <c r="AS548" s="151"/>
      <c r="AT548" s="151"/>
      <c r="AU548" s="151"/>
      <c r="AV548" s="151"/>
      <c r="AW548" s="151"/>
      <c r="AX548" s="151"/>
      <c r="AY548" s="151"/>
      <c r="AZ548" s="151"/>
      <c r="BA548" s="151"/>
      <c r="BB548" s="151"/>
      <c r="BC548" s="151"/>
      <c r="BD548" s="151"/>
    </row>
    <row r="549" spans="1:56" s="40" customFormat="1" ht="36" x14ac:dyDescent="0.25">
      <c r="A549" s="94" t="s">
        <v>1215</v>
      </c>
      <c r="B549" s="158">
        <v>39748</v>
      </c>
      <c r="C549" s="107" t="s">
        <v>1216</v>
      </c>
      <c r="D549" s="69" t="s">
        <v>152</v>
      </c>
      <c r="E549" s="55">
        <v>300</v>
      </c>
      <c r="F549" s="96">
        <v>51.6</v>
      </c>
      <c r="G549" s="56">
        <f t="shared" si="26"/>
        <v>15480</v>
      </c>
      <c r="H549" s="48">
        <f t="shared" si="27"/>
        <v>2.2239938669138832E-3</v>
      </c>
      <c r="I549" s="151"/>
      <c r="J549" s="151"/>
      <c r="K549" s="151"/>
      <c r="L549" s="151"/>
      <c r="M549" s="151"/>
      <c r="N549" s="151"/>
      <c r="O549" s="151"/>
      <c r="P549" s="151"/>
      <c r="Q549" s="151"/>
      <c r="R549" s="151"/>
      <c r="S549" s="151"/>
      <c r="T549" s="151"/>
      <c r="U549" s="151"/>
      <c r="V549" s="151"/>
      <c r="W549" s="151"/>
      <c r="X549" s="151"/>
      <c r="Y549" s="151"/>
      <c r="Z549" s="151"/>
      <c r="AA549" s="151"/>
      <c r="AB549" s="151"/>
      <c r="AC549" s="151"/>
      <c r="AD549" s="151"/>
      <c r="AE549" s="151"/>
      <c r="AF549" s="151"/>
      <c r="AG549" s="151"/>
      <c r="AH549" s="151"/>
      <c r="AI549" s="151"/>
      <c r="AJ549" s="151"/>
      <c r="AK549" s="151"/>
      <c r="AL549" s="151"/>
      <c r="AM549" s="151"/>
      <c r="AN549" s="151"/>
      <c r="AO549" s="151"/>
      <c r="AP549" s="151"/>
      <c r="AQ549" s="151"/>
      <c r="AR549" s="151"/>
      <c r="AS549" s="151"/>
      <c r="AT549" s="151"/>
      <c r="AU549" s="151"/>
      <c r="AV549" s="151"/>
      <c r="AW549" s="151"/>
      <c r="AX549" s="151"/>
      <c r="AY549" s="151"/>
      <c r="AZ549" s="151"/>
      <c r="BA549" s="151"/>
      <c r="BB549" s="151"/>
      <c r="BC549" s="151"/>
      <c r="BD549" s="151"/>
    </row>
    <row r="550" spans="1:56" s="40" customFormat="1" ht="36" x14ac:dyDescent="0.25">
      <c r="A550" s="94" t="s">
        <v>1217</v>
      </c>
      <c r="B550" s="158" t="s">
        <v>1218</v>
      </c>
      <c r="C550" s="107" t="s">
        <v>1219</v>
      </c>
      <c r="D550" s="69" t="s">
        <v>152</v>
      </c>
      <c r="E550" s="55">
        <v>200</v>
      </c>
      <c r="F550" s="96">
        <v>81.33</v>
      </c>
      <c r="G550" s="56">
        <f t="shared" si="26"/>
        <v>16266</v>
      </c>
      <c r="H550" s="48">
        <f t="shared" si="27"/>
        <v>2.3369175865129992E-3</v>
      </c>
      <c r="I550" s="151"/>
      <c r="J550" s="151"/>
      <c r="K550" s="151"/>
      <c r="L550" s="151"/>
      <c r="M550" s="151"/>
      <c r="N550" s="151"/>
      <c r="O550" s="151"/>
      <c r="P550" s="151"/>
      <c r="Q550" s="151"/>
      <c r="R550" s="151"/>
      <c r="S550" s="151"/>
      <c r="T550" s="151"/>
      <c r="U550" s="151"/>
      <c r="V550" s="151"/>
      <c r="W550" s="151"/>
      <c r="X550" s="151"/>
      <c r="Y550" s="151"/>
      <c r="Z550" s="151"/>
      <c r="AA550" s="151"/>
      <c r="AB550" s="151"/>
      <c r="AC550" s="151"/>
      <c r="AD550" s="151"/>
      <c r="AE550" s="151"/>
      <c r="AF550" s="151"/>
      <c r="AG550" s="151"/>
      <c r="AH550" s="151"/>
      <c r="AI550" s="151"/>
      <c r="AJ550" s="151"/>
      <c r="AK550" s="151"/>
      <c r="AL550" s="151"/>
      <c r="AM550" s="151"/>
      <c r="AN550" s="151"/>
      <c r="AO550" s="151"/>
      <c r="AP550" s="151"/>
      <c r="AQ550" s="151"/>
      <c r="AR550" s="151"/>
      <c r="AS550" s="151"/>
      <c r="AT550" s="151"/>
      <c r="AU550" s="151"/>
      <c r="AV550" s="151"/>
      <c r="AW550" s="151"/>
      <c r="AX550" s="151"/>
      <c r="AY550" s="151"/>
      <c r="AZ550" s="151"/>
      <c r="BA550" s="151"/>
      <c r="BB550" s="151"/>
      <c r="BC550" s="151"/>
      <c r="BD550" s="151"/>
    </row>
    <row r="551" spans="1:56" s="40" customFormat="1" ht="36" x14ac:dyDescent="0.25">
      <c r="A551" s="94" t="s">
        <v>1220</v>
      </c>
      <c r="B551" s="158" t="s">
        <v>1221</v>
      </c>
      <c r="C551" s="107" t="s">
        <v>1222</v>
      </c>
      <c r="D551" s="69" t="s">
        <v>152</v>
      </c>
      <c r="E551" s="55">
        <v>200</v>
      </c>
      <c r="F551" s="96">
        <v>44.22</v>
      </c>
      <c r="G551" s="56">
        <f t="shared" si="26"/>
        <v>8844</v>
      </c>
      <c r="H551" s="48">
        <f t="shared" si="27"/>
        <v>1.2706073487717302E-3</v>
      </c>
      <c r="I551" s="151"/>
      <c r="J551" s="151"/>
      <c r="K551" s="151"/>
      <c r="L551" s="151"/>
      <c r="M551" s="151"/>
      <c r="N551" s="151"/>
      <c r="O551" s="151"/>
      <c r="P551" s="151"/>
      <c r="Q551" s="151"/>
      <c r="R551" s="151"/>
      <c r="S551" s="151"/>
      <c r="T551" s="151"/>
      <c r="U551" s="151"/>
      <c r="V551" s="151"/>
      <c r="W551" s="151"/>
      <c r="X551" s="151"/>
      <c r="Y551" s="151"/>
      <c r="Z551" s="151"/>
      <c r="AA551" s="151"/>
      <c r="AB551" s="151"/>
      <c r="AC551" s="151"/>
      <c r="AD551" s="151"/>
      <c r="AE551" s="151"/>
      <c r="AF551" s="151"/>
      <c r="AG551" s="151"/>
      <c r="AH551" s="151"/>
      <c r="AI551" s="151"/>
      <c r="AJ551" s="151"/>
      <c r="AK551" s="151"/>
      <c r="AL551" s="151"/>
      <c r="AM551" s="151"/>
      <c r="AN551" s="151"/>
      <c r="AO551" s="151"/>
      <c r="AP551" s="151"/>
      <c r="AQ551" s="151"/>
      <c r="AR551" s="151"/>
      <c r="AS551" s="151"/>
      <c r="AT551" s="151"/>
      <c r="AU551" s="151"/>
      <c r="AV551" s="151"/>
      <c r="AW551" s="151"/>
      <c r="AX551" s="151"/>
      <c r="AY551" s="151"/>
      <c r="AZ551" s="151"/>
      <c r="BA551" s="151"/>
      <c r="BB551" s="151"/>
      <c r="BC551" s="151"/>
      <c r="BD551" s="151"/>
    </row>
    <row r="552" spans="1:56" s="40" customFormat="1" ht="18" x14ac:dyDescent="0.25">
      <c r="A552" s="94" t="s">
        <v>1223</v>
      </c>
      <c r="B552" s="158" t="s">
        <v>1224</v>
      </c>
      <c r="C552" s="107" t="s">
        <v>1225</v>
      </c>
      <c r="D552" s="69" t="s">
        <v>152</v>
      </c>
      <c r="E552" s="55">
        <v>700</v>
      </c>
      <c r="F552" s="96">
        <v>7</v>
      </c>
      <c r="G552" s="56">
        <f t="shared" si="26"/>
        <v>4900</v>
      </c>
      <c r="H552" s="48">
        <f t="shared" si="27"/>
        <v>7.0397738681382614E-4</v>
      </c>
      <c r="I552" s="151"/>
      <c r="J552" s="151"/>
      <c r="K552" s="151"/>
      <c r="L552" s="151"/>
      <c r="M552" s="151"/>
      <c r="N552" s="151"/>
      <c r="O552" s="151"/>
      <c r="P552" s="151"/>
      <c r="Q552" s="151"/>
      <c r="R552" s="151"/>
      <c r="S552" s="151"/>
      <c r="T552" s="151"/>
      <c r="U552" s="151"/>
      <c r="V552" s="151"/>
      <c r="W552" s="151"/>
      <c r="X552" s="151"/>
      <c r="Y552" s="151"/>
      <c r="Z552" s="151"/>
      <c r="AA552" s="151"/>
      <c r="AB552" s="151"/>
      <c r="AC552" s="151"/>
      <c r="AD552" s="151"/>
      <c r="AE552" s="151"/>
      <c r="AF552" s="151"/>
      <c r="AG552" s="151"/>
      <c r="AH552" s="151"/>
      <c r="AI552" s="151"/>
      <c r="AJ552" s="151"/>
      <c r="AK552" s="151"/>
      <c r="AL552" s="151"/>
      <c r="AM552" s="151"/>
      <c r="AN552" s="151"/>
      <c r="AO552" s="151"/>
      <c r="AP552" s="151"/>
      <c r="AQ552" s="151"/>
      <c r="AR552" s="151"/>
      <c r="AS552" s="151"/>
      <c r="AT552" s="151"/>
      <c r="AU552" s="151"/>
      <c r="AV552" s="151"/>
      <c r="AW552" s="151"/>
      <c r="AX552" s="151"/>
      <c r="AY552" s="151"/>
      <c r="AZ552" s="151"/>
      <c r="BA552" s="151"/>
      <c r="BB552" s="151"/>
      <c r="BC552" s="151"/>
      <c r="BD552" s="151"/>
    </row>
    <row r="553" spans="1:56" s="40" customFormat="1" ht="36" x14ac:dyDescent="0.25">
      <c r="A553" s="94" t="s">
        <v>1226</v>
      </c>
      <c r="B553" s="158">
        <v>99054</v>
      </c>
      <c r="C553" s="107" t="s">
        <v>1227</v>
      </c>
      <c r="D553" s="69" t="s">
        <v>29</v>
      </c>
      <c r="E553" s="55">
        <v>100</v>
      </c>
      <c r="F553" s="96">
        <v>45.68</v>
      </c>
      <c r="G553" s="56">
        <f t="shared" si="26"/>
        <v>4568</v>
      </c>
      <c r="H553" s="48">
        <f t="shared" si="27"/>
        <v>6.5627932713582804E-4</v>
      </c>
      <c r="I553" s="151"/>
      <c r="J553" s="151"/>
      <c r="K553" s="151"/>
      <c r="L553" s="151"/>
      <c r="M553" s="151"/>
      <c r="N553" s="151"/>
      <c r="O553" s="151"/>
      <c r="P553" s="151"/>
      <c r="Q553" s="151"/>
      <c r="R553" s="151"/>
      <c r="S553" s="151"/>
      <c r="T553" s="151"/>
      <c r="U553" s="151"/>
      <c r="V553" s="151"/>
      <c r="W553" s="151"/>
      <c r="X553" s="151"/>
      <c r="Y553" s="151"/>
      <c r="Z553" s="151"/>
      <c r="AA553" s="151"/>
      <c r="AB553" s="151"/>
      <c r="AC553" s="151"/>
      <c r="AD553" s="151"/>
      <c r="AE553" s="151"/>
      <c r="AF553" s="151"/>
      <c r="AG553" s="151"/>
      <c r="AH553" s="151"/>
      <c r="AI553" s="151"/>
      <c r="AJ553" s="151"/>
      <c r="AK553" s="151"/>
      <c r="AL553" s="151"/>
      <c r="AM553" s="151"/>
      <c r="AN553" s="151"/>
      <c r="AO553" s="151"/>
      <c r="AP553" s="151"/>
      <c r="AQ553" s="151"/>
      <c r="AR553" s="151"/>
      <c r="AS553" s="151"/>
      <c r="AT553" s="151"/>
      <c r="AU553" s="151"/>
      <c r="AV553" s="151"/>
      <c r="AW553" s="151"/>
      <c r="AX553" s="151"/>
      <c r="AY553" s="151"/>
      <c r="AZ553" s="151"/>
      <c r="BA553" s="151"/>
      <c r="BB553" s="151"/>
      <c r="BC553" s="151"/>
      <c r="BD553" s="151"/>
    </row>
    <row r="554" spans="1:56" s="40" customFormat="1" ht="36" x14ac:dyDescent="0.25">
      <c r="A554" s="94" t="s">
        <v>1228</v>
      </c>
      <c r="B554" s="158">
        <v>955</v>
      </c>
      <c r="C554" s="107" t="s">
        <v>1229</v>
      </c>
      <c r="D554" s="69" t="s">
        <v>152</v>
      </c>
      <c r="E554" s="55">
        <v>500</v>
      </c>
      <c r="F554" s="96">
        <v>51.06</v>
      </c>
      <c r="G554" s="56">
        <f t="shared" si="26"/>
        <v>25530</v>
      </c>
      <c r="H554" s="48">
        <f t="shared" si="27"/>
        <v>3.6678658541544856E-3</v>
      </c>
      <c r="I554" s="151"/>
      <c r="J554" s="151"/>
      <c r="K554" s="151"/>
      <c r="L554" s="151"/>
      <c r="M554" s="151"/>
      <c r="N554" s="151"/>
      <c r="O554" s="151"/>
      <c r="P554" s="151"/>
      <c r="Q554" s="151"/>
      <c r="R554" s="151"/>
      <c r="S554" s="151"/>
      <c r="T554" s="151"/>
      <c r="U554" s="151"/>
      <c r="V554" s="151"/>
      <c r="W554" s="151"/>
      <c r="X554" s="151"/>
      <c r="Y554" s="151"/>
      <c r="Z554" s="151"/>
      <c r="AA554" s="151"/>
      <c r="AB554" s="151"/>
      <c r="AC554" s="151"/>
      <c r="AD554" s="151"/>
      <c r="AE554" s="151"/>
      <c r="AF554" s="151"/>
      <c r="AG554" s="151"/>
      <c r="AH554" s="151"/>
      <c r="AI554" s="151"/>
      <c r="AJ554" s="151"/>
      <c r="AK554" s="151"/>
      <c r="AL554" s="151"/>
      <c r="AM554" s="151"/>
      <c r="AN554" s="151"/>
      <c r="AO554" s="151"/>
      <c r="AP554" s="151"/>
      <c r="AQ554" s="151"/>
      <c r="AR554" s="151"/>
      <c r="AS554" s="151"/>
      <c r="AT554" s="151"/>
      <c r="AU554" s="151"/>
      <c r="AV554" s="151"/>
      <c r="AW554" s="151"/>
      <c r="AX554" s="151"/>
      <c r="AY554" s="151"/>
      <c r="AZ554" s="151"/>
      <c r="BA554" s="151"/>
      <c r="BB554" s="151"/>
      <c r="BC554" s="151"/>
      <c r="BD554" s="151"/>
    </row>
    <row r="555" spans="1:56" s="40" customFormat="1" ht="54" x14ac:dyDescent="0.25">
      <c r="A555" s="94" t="s">
        <v>1230</v>
      </c>
      <c r="B555" s="158" t="s">
        <v>1231</v>
      </c>
      <c r="C555" s="107" t="s">
        <v>1232</v>
      </c>
      <c r="D555" s="69" t="s">
        <v>404</v>
      </c>
      <c r="E555" s="55">
        <v>2</v>
      </c>
      <c r="F555" s="96">
        <v>2194.4499999999998</v>
      </c>
      <c r="G555" s="56">
        <f t="shared" si="26"/>
        <v>4388.8999999999996</v>
      </c>
      <c r="H555" s="48">
        <f t="shared" si="27"/>
        <v>6.3054823530351049E-4</v>
      </c>
      <c r="I555" s="151"/>
      <c r="J555" s="151"/>
      <c r="K555" s="151"/>
      <c r="L555" s="151"/>
      <c r="M555" s="151"/>
      <c r="N555" s="151"/>
      <c r="O555" s="151"/>
      <c r="P555" s="151"/>
      <c r="Q555" s="151"/>
      <c r="R555" s="151"/>
      <c r="S555" s="151"/>
      <c r="T555" s="151"/>
      <c r="U555" s="151"/>
      <c r="V555" s="151"/>
      <c r="W555" s="151"/>
      <c r="X555" s="151"/>
      <c r="Y555" s="151"/>
      <c r="Z555" s="151"/>
      <c r="AA555" s="151"/>
      <c r="AB555" s="151"/>
      <c r="AC555" s="151"/>
      <c r="AD555" s="151"/>
      <c r="AE555" s="151"/>
      <c r="AF555" s="151"/>
      <c r="AG555" s="151"/>
      <c r="AH555" s="151"/>
      <c r="AI555" s="151"/>
      <c r="AJ555" s="151"/>
      <c r="AK555" s="151"/>
      <c r="AL555" s="151"/>
      <c r="AM555" s="151"/>
      <c r="AN555" s="151"/>
      <c r="AO555" s="151"/>
      <c r="AP555" s="151"/>
      <c r="AQ555" s="151"/>
      <c r="AR555" s="151"/>
      <c r="AS555" s="151"/>
      <c r="AT555" s="151"/>
      <c r="AU555" s="151"/>
      <c r="AV555" s="151"/>
      <c r="AW555" s="151"/>
      <c r="AX555" s="151"/>
      <c r="AY555" s="151"/>
      <c r="AZ555" s="151"/>
      <c r="BA555" s="151"/>
      <c r="BB555" s="151"/>
      <c r="BC555" s="151"/>
      <c r="BD555" s="151"/>
    </row>
    <row r="556" spans="1:56" s="40" customFormat="1" ht="36" x14ac:dyDescent="0.25">
      <c r="A556" s="94" t="s">
        <v>1233</v>
      </c>
      <c r="B556" s="158" t="s">
        <v>1234</v>
      </c>
      <c r="C556" s="107" t="s">
        <v>1235</v>
      </c>
      <c r="D556" s="69" t="s">
        <v>404</v>
      </c>
      <c r="E556" s="55">
        <v>2</v>
      </c>
      <c r="F556" s="96">
        <v>580.15</v>
      </c>
      <c r="G556" s="56">
        <f t="shared" si="26"/>
        <v>1160.3</v>
      </c>
      <c r="H556" s="48">
        <f t="shared" si="27"/>
        <v>1.6669897182042498E-4</v>
      </c>
      <c r="I556" s="151"/>
      <c r="J556" s="151"/>
      <c r="K556" s="151"/>
      <c r="L556" s="151"/>
      <c r="M556" s="151"/>
      <c r="N556" s="151"/>
      <c r="O556" s="151"/>
      <c r="P556" s="151"/>
      <c r="Q556" s="151"/>
      <c r="R556" s="151"/>
      <c r="S556" s="151"/>
      <c r="T556" s="151"/>
      <c r="U556" s="151"/>
      <c r="V556" s="151"/>
      <c r="W556" s="151"/>
      <c r="X556" s="151"/>
      <c r="Y556" s="151"/>
      <c r="Z556" s="151"/>
      <c r="AA556" s="151"/>
      <c r="AB556" s="151"/>
      <c r="AC556" s="151"/>
      <c r="AD556" s="151"/>
      <c r="AE556" s="151"/>
      <c r="AF556" s="151"/>
      <c r="AG556" s="151"/>
      <c r="AH556" s="151"/>
      <c r="AI556" s="151"/>
      <c r="AJ556" s="151"/>
      <c r="AK556" s="151"/>
      <c r="AL556" s="151"/>
      <c r="AM556" s="151"/>
      <c r="AN556" s="151"/>
      <c r="AO556" s="151"/>
      <c r="AP556" s="151"/>
      <c r="AQ556" s="151"/>
      <c r="AR556" s="151"/>
      <c r="AS556" s="151"/>
      <c r="AT556" s="151"/>
      <c r="AU556" s="151"/>
      <c r="AV556" s="151"/>
      <c r="AW556" s="151"/>
      <c r="AX556" s="151"/>
      <c r="AY556" s="151"/>
      <c r="AZ556" s="151"/>
      <c r="BA556" s="151"/>
      <c r="BB556" s="151"/>
      <c r="BC556" s="151"/>
      <c r="BD556" s="151"/>
    </row>
    <row r="557" spans="1:56" s="40" customFormat="1" ht="36" x14ac:dyDescent="0.25">
      <c r="A557" s="94" t="s">
        <v>1236</v>
      </c>
      <c r="B557" s="158">
        <v>92994</v>
      </c>
      <c r="C557" s="107" t="s">
        <v>1237</v>
      </c>
      <c r="D557" s="69" t="s">
        <v>152</v>
      </c>
      <c r="E557" s="55">
        <v>500</v>
      </c>
      <c r="F557" s="96">
        <v>76.64</v>
      </c>
      <c r="G557" s="56">
        <f t="shared" si="26"/>
        <v>38320</v>
      </c>
      <c r="H557" s="48">
        <f t="shared" si="27"/>
        <v>5.5053905025930234E-3</v>
      </c>
      <c r="I557" s="151"/>
      <c r="J557" s="151"/>
      <c r="K557" s="151"/>
      <c r="L557" s="151"/>
      <c r="M557" s="151"/>
      <c r="N557" s="151"/>
      <c r="O557" s="151"/>
      <c r="P557" s="151"/>
      <c r="Q557" s="151"/>
      <c r="R557" s="151"/>
      <c r="S557" s="151"/>
      <c r="T557" s="151"/>
      <c r="U557" s="151"/>
      <c r="V557" s="151"/>
      <c r="W557" s="151"/>
      <c r="X557" s="151"/>
      <c r="Y557" s="151"/>
      <c r="Z557" s="151"/>
      <c r="AA557" s="151"/>
      <c r="AB557" s="151"/>
      <c r="AC557" s="151"/>
      <c r="AD557" s="151"/>
      <c r="AE557" s="151"/>
      <c r="AF557" s="151"/>
      <c r="AG557" s="151"/>
      <c r="AH557" s="151"/>
      <c r="AI557" s="151"/>
      <c r="AJ557" s="151"/>
      <c r="AK557" s="151"/>
      <c r="AL557" s="151"/>
      <c r="AM557" s="151"/>
      <c r="AN557" s="151"/>
      <c r="AO557" s="151"/>
      <c r="AP557" s="151"/>
      <c r="AQ557" s="151"/>
      <c r="AR557" s="151"/>
      <c r="AS557" s="151"/>
      <c r="AT557" s="151"/>
      <c r="AU557" s="151"/>
      <c r="AV557" s="151"/>
      <c r="AW557" s="151"/>
      <c r="AX557" s="151"/>
      <c r="AY557" s="151"/>
      <c r="AZ557" s="151"/>
      <c r="BA557" s="151"/>
      <c r="BB557" s="151"/>
      <c r="BC557" s="151"/>
      <c r="BD557" s="151"/>
    </row>
    <row r="558" spans="1:56" s="40" customFormat="1" ht="18" x14ac:dyDescent="0.25">
      <c r="A558" s="94" t="s">
        <v>1238</v>
      </c>
      <c r="B558" s="158" t="s">
        <v>1239</v>
      </c>
      <c r="C558" s="107" t="s">
        <v>1240</v>
      </c>
      <c r="D558" s="69" t="s">
        <v>404</v>
      </c>
      <c r="E558" s="55">
        <v>2</v>
      </c>
      <c r="F558" s="96">
        <v>384.75</v>
      </c>
      <c r="G558" s="56">
        <f t="shared" si="26"/>
        <v>769.5</v>
      </c>
      <c r="H558" s="48">
        <f t="shared" si="27"/>
        <v>1.1055318350066106E-4</v>
      </c>
      <c r="I558" s="151"/>
      <c r="J558" s="151"/>
      <c r="K558" s="151"/>
      <c r="L558" s="151"/>
      <c r="M558" s="151"/>
      <c r="N558" s="151"/>
      <c r="O558" s="151"/>
      <c r="P558" s="151"/>
      <c r="Q558" s="151"/>
      <c r="R558" s="151"/>
      <c r="S558" s="151"/>
      <c r="T558" s="151"/>
      <c r="U558" s="151"/>
      <c r="V558" s="151"/>
      <c r="W558" s="151"/>
      <c r="X558" s="151"/>
      <c r="Y558" s="151"/>
      <c r="Z558" s="151"/>
      <c r="AA558" s="151"/>
      <c r="AB558" s="151"/>
      <c r="AC558" s="151"/>
      <c r="AD558" s="151"/>
      <c r="AE558" s="151"/>
      <c r="AF558" s="151"/>
      <c r="AG558" s="151"/>
      <c r="AH558" s="151"/>
      <c r="AI558" s="151"/>
      <c r="AJ558" s="151"/>
      <c r="AK558" s="151"/>
      <c r="AL558" s="151"/>
      <c r="AM558" s="151"/>
      <c r="AN558" s="151"/>
      <c r="AO558" s="151"/>
      <c r="AP558" s="151"/>
      <c r="AQ558" s="151"/>
      <c r="AR558" s="151"/>
      <c r="AS558" s="151"/>
      <c r="AT558" s="151"/>
      <c r="AU558" s="151"/>
      <c r="AV558" s="151"/>
      <c r="AW558" s="151"/>
      <c r="AX558" s="151"/>
      <c r="AY558" s="151"/>
      <c r="AZ558" s="151"/>
      <c r="BA558" s="151"/>
      <c r="BB558" s="151"/>
      <c r="BC558" s="151"/>
      <c r="BD558" s="151"/>
    </row>
    <row r="559" spans="1:56" s="40" customFormat="1" ht="36" x14ac:dyDescent="0.25">
      <c r="A559" s="94" t="s">
        <v>1241</v>
      </c>
      <c r="B559" s="158" t="s">
        <v>1242</v>
      </c>
      <c r="C559" s="107" t="s">
        <v>1243</v>
      </c>
      <c r="D559" s="69" t="s">
        <v>404</v>
      </c>
      <c r="E559" s="55">
        <v>30</v>
      </c>
      <c r="F559" s="96">
        <v>8.76</v>
      </c>
      <c r="G559" s="56">
        <f t="shared" si="26"/>
        <v>262.8</v>
      </c>
      <c r="H559" s="48">
        <f t="shared" si="27"/>
        <v>3.7756174949933368E-5</v>
      </c>
      <c r="I559" s="151"/>
      <c r="J559" s="151"/>
      <c r="K559" s="151"/>
      <c r="L559" s="151"/>
      <c r="M559" s="151"/>
      <c r="N559" s="151"/>
      <c r="O559" s="151"/>
      <c r="P559" s="151"/>
      <c r="Q559" s="151"/>
      <c r="R559" s="151"/>
      <c r="S559" s="151"/>
      <c r="T559" s="151"/>
      <c r="U559" s="151"/>
      <c r="V559" s="151"/>
      <c r="W559" s="151"/>
      <c r="X559" s="151"/>
      <c r="Y559" s="151"/>
      <c r="Z559" s="151"/>
      <c r="AA559" s="151"/>
      <c r="AB559" s="151"/>
      <c r="AC559" s="151"/>
      <c r="AD559" s="151"/>
      <c r="AE559" s="151"/>
      <c r="AF559" s="151"/>
      <c r="AG559" s="151"/>
      <c r="AH559" s="151"/>
      <c r="AI559" s="151"/>
      <c r="AJ559" s="151"/>
      <c r="AK559" s="151"/>
      <c r="AL559" s="151"/>
      <c r="AM559" s="151"/>
      <c r="AN559" s="151"/>
      <c r="AO559" s="151"/>
      <c r="AP559" s="151"/>
      <c r="AQ559" s="151"/>
      <c r="AR559" s="151"/>
      <c r="AS559" s="151"/>
      <c r="AT559" s="151"/>
      <c r="AU559" s="151"/>
      <c r="AV559" s="151"/>
      <c r="AW559" s="151"/>
      <c r="AX559" s="151"/>
      <c r="AY559" s="151"/>
      <c r="AZ559" s="151"/>
      <c r="BA559" s="151"/>
      <c r="BB559" s="151"/>
      <c r="BC559" s="151"/>
      <c r="BD559" s="151"/>
    </row>
    <row r="560" spans="1:56" s="40" customFormat="1" ht="18" x14ac:dyDescent="0.25">
      <c r="A560" s="94" t="s">
        <v>1244</v>
      </c>
      <c r="B560" s="158">
        <v>408</v>
      </c>
      <c r="C560" s="107" t="s">
        <v>1245</v>
      </c>
      <c r="D560" s="69" t="s">
        <v>404</v>
      </c>
      <c r="E560" s="55">
        <v>50</v>
      </c>
      <c r="F560" s="96">
        <v>0.84</v>
      </c>
      <c r="G560" s="56">
        <f t="shared" si="26"/>
        <v>42</v>
      </c>
      <c r="H560" s="48">
        <f t="shared" si="27"/>
        <v>6.0340918869756523E-6</v>
      </c>
      <c r="I560" s="151"/>
      <c r="J560" s="151"/>
      <c r="K560" s="151"/>
      <c r="L560" s="151"/>
      <c r="M560" s="151"/>
      <c r="N560" s="151"/>
      <c r="O560" s="151"/>
      <c r="P560" s="151"/>
      <c r="Q560" s="151"/>
      <c r="R560" s="151"/>
      <c r="S560" s="151"/>
      <c r="T560" s="151"/>
      <c r="U560" s="151"/>
      <c r="V560" s="151"/>
      <c r="W560" s="151"/>
      <c r="X560" s="151"/>
      <c r="Y560" s="151"/>
      <c r="Z560" s="151"/>
      <c r="AA560" s="151"/>
      <c r="AB560" s="151"/>
      <c r="AC560" s="151"/>
      <c r="AD560" s="151"/>
      <c r="AE560" s="151"/>
      <c r="AF560" s="151"/>
      <c r="AG560" s="151"/>
      <c r="AH560" s="151"/>
      <c r="AI560" s="151"/>
      <c r="AJ560" s="151"/>
      <c r="AK560" s="151"/>
      <c r="AL560" s="151"/>
      <c r="AM560" s="151"/>
      <c r="AN560" s="151"/>
      <c r="AO560" s="151"/>
      <c r="AP560" s="151"/>
      <c r="AQ560" s="151"/>
      <c r="AR560" s="151"/>
      <c r="AS560" s="151"/>
      <c r="AT560" s="151"/>
      <c r="AU560" s="151"/>
      <c r="AV560" s="151"/>
      <c r="AW560" s="151"/>
      <c r="AX560" s="151"/>
      <c r="AY560" s="151"/>
      <c r="AZ560" s="151"/>
      <c r="BA560" s="151"/>
      <c r="BB560" s="151"/>
      <c r="BC560" s="151"/>
      <c r="BD560" s="151"/>
    </row>
    <row r="561" spans="1:56" s="40" customFormat="1" ht="18" x14ac:dyDescent="0.25">
      <c r="A561" s="94" t="s">
        <v>1246</v>
      </c>
      <c r="B561" s="158">
        <v>7584</v>
      </c>
      <c r="C561" s="107" t="s">
        <v>1247</v>
      </c>
      <c r="D561" s="69" t="s">
        <v>404</v>
      </c>
      <c r="E561" s="55">
        <v>100</v>
      </c>
      <c r="F561" s="96">
        <v>0.74</v>
      </c>
      <c r="G561" s="56">
        <f t="shared" si="26"/>
        <v>74</v>
      </c>
      <c r="H561" s="48">
        <f t="shared" si="27"/>
        <v>1.0631495229433291E-5</v>
      </c>
      <c r="I561" s="151"/>
      <c r="J561" s="151"/>
      <c r="K561" s="151"/>
      <c r="L561" s="151"/>
      <c r="M561" s="151"/>
      <c r="N561" s="151"/>
      <c r="O561" s="151"/>
      <c r="P561" s="151"/>
      <c r="Q561" s="151"/>
      <c r="R561" s="151"/>
      <c r="S561" s="151"/>
      <c r="T561" s="151"/>
      <c r="U561" s="151"/>
      <c r="V561" s="151"/>
      <c r="W561" s="151"/>
      <c r="X561" s="151"/>
      <c r="Y561" s="151"/>
      <c r="Z561" s="151"/>
      <c r="AA561" s="151"/>
      <c r="AB561" s="151"/>
      <c r="AC561" s="151"/>
      <c r="AD561" s="151"/>
      <c r="AE561" s="151"/>
      <c r="AF561" s="151"/>
      <c r="AG561" s="151"/>
      <c r="AH561" s="151"/>
      <c r="AI561" s="151"/>
      <c r="AJ561" s="151"/>
      <c r="AK561" s="151"/>
      <c r="AL561" s="151"/>
      <c r="AM561" s="151"/>
      <c r="AN561" s="151"/>
      <c r="AO561" s="151"/>
      <c r="AP561" s="151"/>
      <c r="AQ561" s="151"/>
      <c r="AR561" s="151"/>
      <c r="AS561" s="151"/>
      <c r="AT561" s="151"/>
      <c r="AU561" s="151"/>
      <c r="AV561" s="151"/>
      <c r="AW561" s="151"/>
      <c r="AX561" s="151"/>
      <c r="AY561" s="151"/>
      <c r="AZ561" s="151"/>
      <c r="BA561" s="151"/>
      <c r="BB561" s="151"/>
      <c r="BC561" s="151"/>
      <c r="BD561" s="151"/>
    </row>
    <row r="562" spans="1:56" s="40" customFormat="1" ht="18" x14ac:dyDescent="0.25">
      <c r="A562" s="94" t="s">
        <v>1248</v>
      </c>
      <c r="B562" s="158">
        <v>39207</v>
      </c>
      <c r="C562" s="107" t="s">
        <v>1249</v>
      </c>
      <c r="D562" s="69" t="s">
        <v>404</v>
      </c>
      <c r="E562" s="55">
        <v>100</v>
      </c>
      <c r="F562" s="96">
        <v>0.75</v>
      </c>
      <c r="G562" s="56">
        <f t="shared" si="26"/>
        <v>75</v>
      </c>
      <c r="H562" s="48">
        <f t="shared" si="27"/>
        <v>1.0775164083885093E-5</v>
      </c>
      <c r="I562" s="151"/>
      <c r="J562" s="151"/>
      <c r="K562" s="151"/>
      <c r="L562" s="151"/>
      <c r="M562" s="151"/>
      <c r="N562" s="151"/>
      <c r="O562" s="151"/>
      <c r="P562" s="151"/>
      <c r="Q562" s="151"/>
      <c r="R562" s="151"/>
      <c r="S562" s="151"/>
      <c r="T562" s="151"/>
      <c r="U562" s="151"/>
      <c r="V562" s="151"/>
      <c r="W562" s="151"/>
      <c r="X562" s="151"/>
      <c r="Y562" s="151"/>
      <c r="Z562" s="151"/>
      <c r="AA562" s="151"/>
      <c r="AB562" s="151"/>
      <c r="AC562" s="151"/>
      <c r="AD562" s="151"/>
      <c r="AE562" s="151"/>
      <c r="AF562" s="151"/>
      <c r="AG562" s="151"/>
      <c r="AH562" s="151"/>
      <c r="AI562" s="151"/>
      <c r="AJ562" s="151"/>
      <c r="AK562" s="151"/>
      <c r="AL562" s="151"/>
      <c r="AM562" s="151"/>
      <c r="AN562" s="151"/>
      <c r="AO562" s="151"/>
      <c r="AP562" s="151"/>
      <c r="AQ562" s="151"/>
      <c r="AR562" s="151"/>
      <c r="AS562" s="151"/>
      <c r="AT562" s="151"/>
      <c r="AU562" s="151"/>
      <c r="AV562" s="151"/>
      <c r="AW562" s="151"/>
      <c r="AX562" s="151"/>
      <c r="AY562" s="151"/>
      <c r="AZ562" s="151"/>
      <c r="BA562" s="151"/>
      <c r="BB562" s="151"/>
      <c r="BC562" s="151"/>
      <c r="BD562" s="151"/>
    </row>
    <row r="563" spans="1:56" s="40" customFormat="1" ht="18" x14ac:dyDescent="0.25">
      <c r="A563" s="94" t="s">
        <v>1250</v>
      </c>
      <c r="B563" s="158" t="s">
        <v>1251</v>
      </c>
      <c r="C563" s="107" t="s">
        <v>1252</v>
      </c>
      <c r="D563" s="69" t="s">
        <v>404</v>
      </c>
      <c r="E563" s="55">
        <v>100</v>
      </c>
      <c r="F563" s="96">
        <v>0.52</v>
      </c>
      <c r="G563" s="56">
        <f t="shared" si="26"/>
        <v>52</v>
      </c>
      <c r="H563" s="48">
        <f t="shared" si="27"/>
        <v>7.4707804314936647E-6</v>
      </c>
      <c r="I563" s="151"/>
      <c r="J563" s="151"/>
      <c r="K563" s="151"/>
      <c r="L563" s="151"/>
      <c r="M563" s="151"/>
      <c r="N563" s="151"/>
      <c r="O563" s="151"/>
      <c r="P563" s="151"/>
      <c r="Q563" s="151"/>
      <c r="R563" s="151"/>
      <c r="S563" s="151"/>
      <c r="T563" s="151"/>
      <c r="U563" s="151"/>
      <c r="V563" s="151"/>
      <c r="W563" s="151"/>
      <c r="X563" s="151"/>
      <c r="Y563" s="151"/>
      <c r="Z563" s="151"/>
      <c r="AA563" s="151"/>
      <c r="AB563" s="151"/>
      <c r="AC563" s="151"/>
      <c r="AD563" s="151"/>
      <c r="AE563" s="151"/>
      <c r="AF563" s="151"/>
      <c r="AG563" s="151"/>
      <c r="AH563" s="151"/>
      <c r="AI563" s="151"/>
      <c r="AJ563" s="151"/>
      <c r="AK563" s="151"/>
      <c r="AL563" s="151"/>
      <c r="AM563" s="151"/>
      <c r="AN563" s="151"/>
      <c r="AO563" s="151"/>
      <c r="AP563" s="151"/>
      <c r="AQ563" s="151"/>
      <c r="AR563" s="151"/>
      <c r="AS563" s="151"/>
      <c r="AT563" s="151"/>
      <c r="AU563" s="151"/>
      <c r="AV563" s="151"/>
      <c r="AW563" s="151"/>
      <c r="AX563" s="151"/>
      <c r="AY563" s="151"/>
      <c r="AZ563" s="151"/>
      <c r="BA563" s="151"/>
      <c r="BB563" s="151"/>
      <c r="BC563" s="151"/>
      <c r="BD563" s="151"/>
    </row>
    <row r="564" spans="1:56" s="40" customFormat="1" ht="18" x14ac:dyDescent="0.25">
      <c r="A564" s="94" t="s">
        <v>1253</v>
      </c>
      <c r="B564" s="158">
        <v>13294</v>
      </c>
      <c r="C564" s="107" t="s">
        <v>1254</v>
      </c>
      <c r="D564" s="69" t="s">
        <v>404</v>
      </c>
      <c r="E564" s="55">
        <v>100</v>
      </c>
      <c r="F564" s="96">
        <v>0.8</v>
      </c>
      <c r="G564" s="56">
        <f t="shared" si="26"/>
        <v>80</v>
      </c>
      <c r="H564" s="48">
        <f t="shared" si="27"/>
        <v>1.1493508356144099E-5</v>
      </c>
      <c r="I564" s="151"/>
      <c r="J564" s="151"/>
      <c r="K564" s="151"/>
      <c r="L564" s="151"/>
      <c r="M564" s="151"/>
      <c r="N564" s="151"/>
      <c r="O564" s="151"/>
      <c r="P564" s="151"/>
      <c r="Q564" s="151"/>
      <c r="R564" s="151"/>
      <c r="S564" s="151"/>
      <c r="T564" s="151"/>
      <c r="U564" s="151"/>
      <c r="V564" s="151"/>
      <c r="W564" s="151"/>
      <c r="X564" s="151"/>
      <c r="Y564" s="151"/>
      <c r="Z564" s="151"/>
      <c r="AA564" s="151"/>
      <c r="AB564" s="151"/>
      <c r="AC564" s="151"/>
      <c r="AD564" s="151"/>
      <c r="AE564" s="151"/>
      <c r="AF564" s="151"/>
      <c r="AG564" s="151"/>
      <c r="AH564" s="151"/>
      <c r="AI564" s="151"/>
      <c r="AJ564" s="151"/>
      <c r="AK564" s="151"/>
      <c r="AL564" s="151"/>
      <c r="AM564" s="151"/>
      <c r="AN564" s="151"/>
      <c r="AO564" s="151"/>
      <c r="AP564" s="151"/>
      <c r="AQ564" s="151"/>
      <c r="AR564" s="151"/>
      <c r="AS564" s="151"/>
      <c r="AT564" s="151"/>
      <c r="AU564" s="151"/>
      <c r="AV564" s="151"/>
      <c r="AW564" s="151"/>
      <c r="AX564" s="151"/>
      <c r="AY564" s="151"/>
      <c r="AZ564" s="151"/>
      <c r="BA564" s="151"/>
      <c r="BB564" s="151"/>
      <c r="BC564" s="151"/>
      <c r="BD564" s="151"/>
    </row>
    <row r="565" spans="1:56" s="40" customFormat="1" ht="18" x14ac:dyDescent="0.25">
      <c r="A565" s="94" t="s">
        <v>1255</v>
      </c>
      <c r="B565" s="158">
        <v>4342</v>
      </c>
      <c r="C565" s="107" t="s">
        <v>1256</v>
      </c>
      <c r="D565" s="69" t="s">
        <v>404</v>
      </c>
      <c r="E565" s="55">
        <v>100</v>
      </c>
      <c r="F565" s="96">
        <v>0.11</v>
      </c>
      <c r="G565" s="56">
        <f t="shared" si="26"/>
        <v>11</v>
      </c>
      <c r="H565" s="48">
        <f t="shared" si="27"/>
        <v>1.5803573989698137E-6</v>
      </c>
      <c r="I565" s="151"/>
      <c r="J565" s="151"/>
      <c r="K565" s="151"/>
      <c r="L565" s="151"/>
      <c r="M565" s="151"/>
      <c r="N565" s="151"/>
      <c r="O565" s="151"/>
      <c r="P565" s="151"/>
      <c r="Q565" s="151"/>
      <c r="R565" s="151"/>
      <c r="S565" s="151"/>
      <c r="T565" s="151"/>
      <c r="U565" s="151"/>
      <c r="V565" s="151"/>
      <c r="W565" s="151"/>
      <c r="X565" s="151"/>
      <c r="Y565" s="151"/>
      <c r="Z565" s="151"/>
      <c r="AA565" s="151"/>
      <c r="AB565" s="151"/>
      <c r="AC565" s="151"/>
      <c r="AD565" s="151"/>
      <c r="AE565" s="151"/>
      <c r="AF565" s="151"/>
      <c r="AG565" s="151"/>
      <c r="AH565" s="151"/>
      <c r="AI565" s="151"/>
      <c r="AJ565" s="151"/>
      <c r="AK565" s="151"/>
      <c r="AL565" s="151"/>
      <c r="AM565" s="151"/>
      <c r="AN565" s="151"/>
      <c r="AO565" s="151"/>
      <c r="AP565" s="151"/>
      <c r="AQ565" s="151"/>
      <c r="AR565" s="151"/>
      <c r="AS565" s="151"/>
      <c r="AT565" s="151"/>
      <c r="AU565" s="151"/>
      <c r="AV565" s="151"/>
      <c r="AW565" s="151"/>
      <c r="AX565" s="151"/>
      <c r="AY565" s="151"/>
      <c r="AZ565" s="151"/>
      <c r="BA565" s="151"/>
      <c r="BB565" s="151"/>
      <c r="BC565" s="151"/>
      <c r="BD565" s="151"/>
    </row>
    <row r="566" spans="1:56" s="40" customFormat="1" ht="54" x14ac:dyDescent="0.25">
      <c r="A566" s="94" t="s">
        <v>1257</v>
      </c>
      <c r="B566" s="158" t="s">
        <v>1258</v>
      </c>
      <c r="C566" s="107" t="s">
        <v>1259</v>
      </c>
      <c r="D566" s="69" t="s">
        <v>404</v>
      </c>
      <c r="E566" s="55">
        <v>50</v>
      </c>
      <c r="F566" s="96">
        <v>180.14</v>
      </c>
      <c r="G566" s="56">
        <f t="shared" ref="G566:G572" si="28">E566*F566</f>
        <v>9007</v>
      </c>
      <c r="H566" s="48">
        <f t="shared" si="27"/>
        <v>1.2940253720473739E-3</v>
      </c>
      <c r="I566" s="151"/>
      <c r="J566" s="151"/>
      <c r="K566" s="151"/>
      <c r="L566" s="151"/>
      <c r="M566" s="151"/>
      <c r="N566" s="151"/>
      <c r="O566" s="151"/>
      <c r="P566" s="151"/>
      <c r="Q566" s="151"/>
      <c r="R566" s="151"/>
      <c r="S566" s="151"/>
      <c r="T566" s="151"/>
      <c r="U566" s="151"/>
      <c r="V566" s="151"/>
      <c r="W566" s="151"/>
      <c r="X566" s="151"/>
      <c r="Y566" s="151"/>
      <c r="Z566" s="151"/>
      <c r="AA566" s="151"/>
      <c r="AB566" s="151"/>
      <c r="AC566" s="151"/>
      <c r="AD566" s="151"/>
      <c r="AE566" s="151"/>
      <c r="AF566" s="151"/>
      <c r="AG566" s="151"/>
      <c r="AH566" s="151"/>
      <c r="AI566" s="151"/>
      <c r="AJ566" s="151"/>
      <c r="AK566" s="151"/>
      <c r="AL566" s="151"/>
      <c r="AM566" s="151"/>
      <c r="AN566" s="151"/>
      <c r="AO566" s="151"/>
      <c r="AP566" s="151"/>
      <c r="AQ566" s="151"/>
      <c r="AR566" s="151"/>
      <c r="AS566" s="151"/>
      <c r="AT566" s="151"/>
      <c r="AU566" s="151"/>
      <c r="AV566" s="151"/>
      <c r="AW566" s="151"/>
      <c r="AX566" s="151"/>
      <c r="AY566" s="151"/>
      <c r="AZ566" s="151"/>
      <c r="BA566" s="151"/>
      <c r="BB566" s="151"/>
      <c r="BC566" s="151"/>
      <c r="BD566" s="151"/>
    </row>
    <row r="567" spans="1:56" s="40" customFormat="1" ht="36" x14ac:dyDescent="0.25">
      <c r="A567" s="94" t="s">
        <v>1260</v>
      </c>
      <c r="B567" s="158">
        <v>71516</v>
      </c>
      <c r="C567" s="107" t="s">
        <v>1261</v>
      </c>
      <c r="D567" s="69" t="s">
        <v>404</v>
      </c>
      <c r="E567" s="55">
        <v>10</v>
      </c>
      <c r="F567" s="96">
        <v>544</v>
      </c>
      <c r="G567" s="56">
        <f t="shared" si="28"/>
        <v>5440</v>
      </c>
      <c r="H567" s="48">
        <f t="shared" si="27"/>
        <v>7.8155856821779878E-4</v>
      </c>
      <c r="I567" s="151"/>
      <c r="J567" s="151"/>
      <c r="K567" s="151"/>
      <c r="L567" s="151"/>
      <c r="M567" s="151"/>
      <c r="N567" s="151"/>
      <c r="O567" s="151"/>
      <c r="P567" s="151"/>
      <c r="Q567" s="151"/>
      <c r="R567" s="151"/>
      <c r="S567" s="151"/>
      <c r="T567" s="151"/>
      <c r="U567" s="151"/>
      <c r="V567" s="151"/>
      <c r="W567" s="151"/>
      <c r="X567" s="151"/>
      <c r="Y567" s="151"/>
      <c r="Z567" s="151"/>
      <c r="AA567" s="151"/>
      <c r="AB567" s="151"/>
      <c r="AC567" s="151"/>
      <c r="AD567" s="151"/>
      <c r="AE567" s="151"/>
      <c r="AF567" s="151"/>
      <c r="AG567" s="151"/>
      <c r="AH567" s="151"/>
      <c r="AI567" s="151"/>
      <c r="AJ567" s="151"/>
      <c r="AK567" s="151"/>
      <c r="AL567" s="151"/>
      <c r="AM567" s="151"/>
      <c r="AN567" s="151"/>
      <c r="AO567" s="151"/>
      <c r="AP567" s="151"/>
      <c r="AQ567" s="151"/>
      <c r="AR567" s="151"/>
      <c r="AS567" s="151"/>
      <c r="AT567" s="151"/>
      <c r="AU567" s="151"/>
      <c r="AV567" s="151"/>
      <c r="AW567" s="151"/>
      <c r="AX567" s="151"/>
      <c r="AY567" s="151"/>
      <c r="AZ567" s="151"/>
      <c r="BA567" s="151"/>
      <c r="BB567" s="151"/>
      <c r="BC567" s="151"/>
      <c r="BD567" s="151"/>
    </row>
    <row r="568" spans="1:56" s="40" customFormat="1" ht="18" x14ac:dyDescent="0.25">
      <c r="A568" s="94" t="s">
        <v>1262</v>
      </c>
      <c r="B568" s="158" t="s">
        <v>1263</v>
      </c>
      <c r="C568" s="107" t="s">
        <v>1264</v>
      </c>
      <c r="D568" s="69" t="s">
        <v>152</v>
      </c>
      <c r="E568" s="55">
        <v>100</v>
      </c>
      <c r="F568" s="96">
        <v>8.02</v>
      </c>
      <c r="G568" s="56">
        <f t="shared" si="28"/>
        <v>802</v>
      </c>
      <c r="H568" s="48">
        <f t="shared" si="27"/>
        <v>1.1522242127034461E-4</v>
      </c>
      <c r="I568" s="151"/>
      <c r="J568" s="151"/>
      <c r="K568" s="151"/>
      <c r="L568" s="151"/>
      <c r="M568" s="151"/>
      <c r="N568" s="151"/>
      <c r="O568" s="151"/>
      <c r="P568" s="151"/>
      <c r="Q568" s="151"/>
      <c r="R568" s="151"/>
      <c r="S568" s="151"/>
      <c r="T568" s="151"/>
      <c r="U568" s="151"/>
      <c r="V568" s="151"/>
      <c r="W568" s="151"/>
      <c r="X568" s="151"/>
      <c r="Y568" s="151"/>
      <c r="Z568" s="151"/>
      <c r="AA568" s="151"/>
      <c r="AB568" s="151"/>
      <c r="AC568" s="151"/>
      <c r="AD568" s="151"/>
      <c r="AE568" s="151"/>
      <c r="AF568" s="151"/>
      <c r="AG568" s="151"/>
      <c r="AH568" s="151"/>
      <c r="AI568" s="151"/>
      <c r="AJ568" s="151"/>
      <c r="AK568" s="151"/>
      <c r="AL568" s="151"/>
      <c r="AM568" s="151"/>
      <c r="AN568" s="151"/>
      <c r="AO568" s="151"/>
      <c r="AP568" s="151"/>
      <c r="AQ568" s="151"/>
      <c r="AR568" s="151"/>
      <c r="AS568" s="151"/>
      <c r="AT568" s="151"/>
      <c r="AU568" s="151"/>
      <c r="AV568" s="151"/>
      <c r="AW568" s="151"/>
      <c r="AX568" s="151"/>
      <c r="AY568" s="151"/>
      <c r="AZ568" s="151"/>
      <c r="BA568" s="151"/>
      <c r="BB568" s="151"/>
      <c r="BC568" s="151"/>
      <c r="BD568" s="151"/>
    </row>
    <row r="569" spans="1:56" s="40" customFormat="1" ht="18" x14ac:dyDescent="0.25">
      <c r="A569" s="94" t="s">
        <v>1265</v>
      </c>
      <c r="B569" s="158" t="s">
        <v>1266</v>
      </c>
      <c r="C569" s="107" t="s">
        <v>1267</v>
      </c>
      <c r="D569" s="69" t="s">
        <v>148</v>
      </c>
      <c r="E569" s="55">
        <v>500</v>
      </c>
      <c r="F569" s="96">
        <v>8.7799999999999994</v>
      </c>
      <c r="G569" s="56">
        <f t="shared" si="28"/>
        <v>4390</v>
      </c>
      <c r="H569" s="48">
        <f t="shared" si="27"/>
        <v>6.3070627104340742E-4</v>
      </c>
      <c r="I569" s="151"/>
      <c r="J569" s="151"/>
      <c r="K569" s="151"/>
      <c r="L569" s="151"/>
      <c r="M569" s="151"/>
      <c r="N569" s="151"/>
      <c r="O569" s="151"/>
      <c r="P569" s="151"/>
      <c r="Q569" s="151"/>
      <c r="R569" s="151"/>
      <c r="S569" s="151"/>
      <c r="T569" s="151"/>
      <c r="U569" s="151"/>
      <c r="V569" s="151"/>
      <c r="W569" s="151"/>
      <c r="X569" s="151"/>
      <c r="Y569" s="151"/>
      <c r="Z569" s="151"/>
      <c r="AA569" s="151"/>
      <c r="AB569" s="151"/>
      <c r="AC569" s="151"/>
      <c r="AD569" s="151"/>
      <c r="AE569" s="151"/>
      <c r="AF569" s="151"/>
      <c r="AG569" s="151"/>
      <c r="AH569" s="151"/>
      <c r="AI569" s="151"/>
      <c r="AJ569" s="151"/>
      <c r="AK569" s="151"/>
      <c r="AL569" s="151"/>
      <c r="AM569" s="151"/>
      <c r="AN569" s="151"/>
      <c r="AO569" s="151"/>
      <c r="AP569" s="151"/>
      <c r="AQ569" s="151"/>
      <c r="AR569" s="151"/>
      <c r="AS569" s="151"/>
      <c r="AT569" s="151"/>
      <c r="AU569" s="151"/>
      <c r="AV569" s="151"/>
      <c r="AW569" s="151"/>
      <c r="AX569" s="151"/>
      <c r="AY569" s="151"/>
      <c r="AZ569" s="151"/>
      <c r="BA569" s="151"/>
      <c r="BB569" s="151"/>
      <c r="BC569" s="151"/>
      <c r="BD569" s="151"/>
    </row>
    <row r="570" spans="1:56" s="40" customFormat="1" ht="36" x14ac:dyDescent="0.25">
      <c r="A570" s="94" t="s">
        <v>1268</v>
      </c>
      <c r="B570" s="158">
        <v>92566</v>
      </c>
      <c r="C570" s="107" t="s">
        <v>1269</v>
      </c>
      <c r="D570" s="69" t="s">
        <v>148</v>
      </c>
      <c r="E570" s="55">
        <v>500</v>
      </c>
      <c r="F570" s="96">
        <v>15.24</v>
      </c>
      <c r="G570" s="56">
        <f t="shared" si="28"/>
        <v>7620</v>
      </c>
      <c r="H570" s="48">
        <f t="shared" si="27"/>
        <v>1.0947566709227255E-3</v>
      </c>
      <c r="I570" s="151"/>
      <c r="J570" s="151"/>
      <c r="K570" s="151"/>
      <c r="L570" s="151"/>
      <c r="M570" s="151"/>
      <c r="N570" s="151"/>
      <c r="O570" s="151"/>
      <c r="P570" s="151"/>
      <c r="Q570" s="151"/>
      <c r="R570" s="151"/>
      <c r="S570" s="151"/>
      <c r="T570" s="151"/>
      <c r="U570" s="151"/>
      <c r="V570" s="151"/>
      <c r="W570" s="151"/>
      <c r="X570" s="151"/>
      <c r="Y570" s="151"/>
      <c r="Z570" s="151"/>
      <c r="AA570" s="151"/>
      <c r="AB570" s="151"/>
      <c r="AC570" s="151"/>
      <c r="AD570" s="151"/>
      <c r="AE570" s="151"/>
      <c r="AF570" s="151"/>
      <c r="AG570" s="151"/>
      <c r="AH570" s="151"/>
      <c r="AI570" s="151"/>
      <c r="AJ570" s="151"/>
      <c r="AK570" s="151"/>
      <c r="AL570" s="151"/>
      <c r="AM570" s="151"/>
      <c r="AN570" s="151"/>
      <c r="AO570" s="151"/>
      <c r="AP570" s="151"/>
      <c r="AQ570" s="151"/>
      <c r="AR570" s="151"/>
      <c r="AS570" s="151"/>
      <c r="AT570" s="151"/>
      <c r="AU570" s="151"/>
      <c r="AV570" s="151"/>
      <c r="AW570" s="151"/>
      <c r="AX570" s="151"/>
      <c r="AY570" s="151"/>
      <c r="AZ570" s="151"/>
      <c r="BA570" s="151"/>
      <c r="BB570" s="151"/>
      <c r="BC570" s="151"/>
      <c r="BD570" s="151"/>
    </row>
    <row r="571" spans="1:56" s="40" customFormat="1" ht="36" x14ac:dyDescent="0.25">
      <c r="A571" s="94" t="s">
        <v>1270</v>
      </c>
      <c r="B571" s="158">
        <v>92567</v>
      </c>
      <c r="C571" s="107" t="s">
        <v>1271</v>
      </c>
      <c r="D571" s="69" t="s">
        <v>148</v>
      </c>
      <c r="E571" s="55">
        <v>500</v>
      </c>
      <c r="F571" s="96">
        <v>23.09</v>
      </c>
      <c r="G571" s="56">
        <f t="shared" si="28"/>
        <v>11545</v>
      </c>
      <c r="H571" s="48">
        <f t="shared" si="27"/>
        <v>1.6586569246460454E-3</v>
      </c>
      <c r="I571" s="151"/>
      <c r="J571" s="151"/>
      <c r="K571" s="151"/>
      <c r="L571" s="151"/>
      <c r="M571" s="151"/>
      <c r="N571" s="151"/>
      <c r="O571" s="151"/>
      <c r="P571" s="151"/>
      <c r="Q571" s="151"/>
      <c r="R571" s="151"/>
      <c r="S571" s="151"/>
      <c r="T571" s="151"/>
      <c r="U571" s="151"/>
      <c r="V571" s="151"/>
      <c r="W571" s="151"/>
      <c r="X571" s="151"/>
      <c r="Y571" s="151"/>
      <c r="Z571" s="151"/>
      <c r="AA571" s="151"/>
      <c r="AB571" s="151"/>
      <c r="AC571" s="151"/>
      <c r="AD571" s="151"/>
      <c r="AE571" s="151"/>
      <c r="AF571" s="151"/>
      <c r="AG571" s="151"/>
      <c r="AH571" s="151"/>
      <c r="AI571" s="151"/>
      <c r="AJ571" s="151"/>
      <c r="AK571" s="151"/>
      <c r="AL571" s="151"/>
      <c r="AM571" s="151"/>
      <c r="AN571" s="151"/>
      <c r="AO571" s="151"/>
      <c r="AP571" s="151"/>
      <c r="AQ571" s="151"/>
      <c r="AR571" s="151"/>
      <c r="AS571" s="151"/>
      <c r="AT571" s="151"/>
      <c r="AU571" s="151"/>
      <c r="AV571" s="151"/>
      <c r="AW571" s="151"/>
      <c r="AX571" s="151"/>
      <c r="AY571" s="151"/>
      <c r="AZ571" s="151"/>
      <c r="BA571" s="151"/>
      <c r="BB571" s="151"/>
      <c r="BC571" s="151"/>
      <c r="BD571" s="151"/>
    </row>
    <row r="572" spans="1:56" s="40" customFormat="1" ht="36.75" thickBot="1" x14ac:dyDescent="0.3">
      <c r="A572" s="94" t="s">
        <v>1272</v>
      </c>
      <c r="B572" s="158">
        <v>89865</v>
      </c>
      <c r="C572" s="107" t="s">
        <v>1273</v>
      </c>
      <c r="D572" s="69" t="s">
        <v>152</v>
      </c>
      <c r="E572" s="55">
        <v>1000</v>
      </c>
      <c r="F572" s="96">
        <v>10.84</v>
      </c>
      <c r="G572" s="56">
        <f t="shared" si="28"/>
        <v>10840</v>
      </c>
      <c r="H572" s="48">
        <f t="shared" si="27"/>
        <v>1.5573703822575255E-3</v>
      </c>
      <c r="I572" s="151"/>
      <c r="J572" s="151"/>
      <c r="K572" s="151"/>
      <c r="L572" s="151"/>
      <c r="M572" s="151"/>
      <c r="N572" s="151"/>
      <c r="O572" s="151"/>
      <c r="P572" s="151"/>
      <c r="Q572" s="151"/>
      <c r="R572" s="151"/>
      <c r="S572" s="151"/>
      <c r="T572" s="151"/>
      <c r="U572" s="151"/>
      <c r="V572" s="151"/>
      <c r="W572" s="151"/>
      <c r="X572" s="151"/>
      <c r="Y572" s="151"/>
      <c r="Z572" s="151"/>
      <c r="AA572" s="151"/>
      <c r="AB572" s="151"/>
      <c r="AC572" s="151"/>
      <c r="AD572" s="151"/>
      <c r="AE572" s="151"/>
      <c r="AF572" s="151"/>
      <c r="AG572" s="151"/>
      <c r="AH572" s="151"/>
      <c r="AI572" s="151"/>
      <c r="AJ572" s="151"/>
      <c r="AK572" s="151"/>
      <c r="AL572" s="151"/>
      <c r="AM572" s="151"/>
      <c r="AN572" s="151"/>
      <c r="AO572" s="151"/>
      <c r="AP572" s="151"/>
      <c r="AQ572" s="151"/>
      <c r="AR572" s="151"/>
      <c r="AS572" s="151"/>
      <c r="AT572" s="151"/>
      <c r="AU572" s="151"/>
      <c r="AV572" s="151"/>
      <c r="AW572" s="151"/>
      <c r="AX572" s="151"/>
      <c r="AY572" s="151"/>
      <c r="AZ572" s="151"/>
      <c r="BA572" s="151"/>
      <c r="BB572" s="151"/>
      <c r="BC572" s="151"/>
      <c r="BD572" s="151"/>
    </row>
    <row r="573" spans="1:56" s="40" customFormat="1" ht="18.75" thickBot="1" x14ac:dyDescent="0.3">
      <c r="A573" s="42">
        <v>21</v>
      </c>
      <c r="B573" s="90"/>
      <c r="C573" s="71" t="s">
        <v>1274</v>
      </c>
      <c r="D573" s="91"/>
      <c r="E573" s="92"/>
      <c r="F573" s="93"/>
      <c r="G573" s="72">
        <f>SUM(G574:G581)</f>
        <v>16524.348400000003</v>
      </c>
      <c r="H573" s="48">
        <f t="shared" si="27"/>
        <v>2.374034205190455E-3</v>
      </c>
      <c r="J573" s="151"/>
      <c r="K573" s="41"/>
      <c r="L573" s="151"/>
      <c r="M573" s="161"/>
      <c r="N573" s="41"/>
    </row>
    <row r="574" spans="1:56" s="40" customFormat="1" ht="18" x14ac:dyDescent="0.25">
      <c r="A574" s="148" t="s">
        <v>1275</v>
      </c>
      <c r="B574" s="76" t="s">
        <v>1276</v>
      </c>
      <c r="C574" s="162" t="s">
        <v>1277</v>
      </c>
      <c r="D574" s="53" t="s">
        <v>29</v>
      </c>
      <c r="E574" s="54">
        <f>E16*2</f>
        <v>200</v>
      </c>
      <c r="F574" s="54">
        <v>8.92</v>
      </c>
      <c r="G574" s="56">
        <f t="shared" ref="G574:G581" si="29">F574*E574</f>
        <v>1784</v>
      </c>
      <c r="H574" s="48">
        <f t="shared" si="27"/>
        <v>2.5630523634201342E-4</v>
      </c>
      <c r="J574" s="151"/>
      <c r="K574" s="41"/>
      <c r="L574" s="151"/>
      <c r="M574" s="161"/>
      <c r="N574" s="41"/>
    </row>
    <row r="575" spans="1:56" s="40" customFormat="1" ht="18" x14ac:dyDescent="0.25">
      <c r="A575" s="148" t="s">
        <v>1278</v>
      </c>
      <c r="B575" s="77" t="s">
        <v>1279</v>
      </c>
      <c r="C575" s="122" t="s">
        <v>1280</v>
      </c>
      <c r="D575" s="69" t="s">
        <v>29</v>
      </c>
      <c r="E575" s="55">
        <f>E13+E14+E15</f>
        <v>107.25000000000001</v>
      </c>
      <c r="F575" s="55">
        <v>4.5199999999999996</v>
      </c>
      <c r="G575" s="56">
        <f t="shared" si="29"/>
        <v>484.77000000000004</v>
      </c>
      <c r="H575" s="48">
        <f t="shared" si="27"/>
        <v>6.9646350572599694E-5</v>
      </c>
      <c r="N575" s="41"/>
    </row>
    <row r="576" spans="1:56" s="40" customFormat="1" ht="18" x14ac:dyDescent="0.25">
      <c r="A576" s="148" t="s">
        <v>1281</v>
      </c>
      <c r="B576" s="77" t="s">
        <v>45</v>
      </c>
      <c r="C576" s="122" t="s">
        <v>1282</v>
      </c>
      <c r="D576" s="69" t="s">
        <v>29</v>
      </c>
      <c r="E576" s="55">
        <f>E12</f>
        <v>89.76</v>
      </c>
      <c r="F576" s="55">
        <v>11.74</v>
      </c>
      <c r="G576" s="56">
        <f t="shared" si="29"/>
        <v>1053.7824000000001</v>
      </c>
      <c r="H576" s="48">
        <f t="shared" si="27"/>
        <v>1.513957102494698E-4</v>
      </c>
      <c r="N576" s="41"/>
    </row>
    <row r="577" spans="1:14" s="40" customFormat="1" ht="36" x14ac:dyDescent="0.25">
      <c r="A577" s="148" t="s">
        <v>1283</v>
      </c>
      <c r="B577" s="51">
        <v>73467</v>
      </c>
      <c r="C577" s="52" t="s">
        <v>22</v>
      </c>
      <c r="D577" s="53" t="s">
        <v>23</v>
      </c>
      <c r="E577" s="54">
        <v>40</v>
      </c>
      <c r="F577" s="55">
        <v>103.26</v>
      </c>
      <c r="G577" s="56">
        <f t="shared" si="29"/>
        <v>4130.4000000000005</v>
      </c>
      <c r="H577" s="48">
        <f t="shared" si="27"/>
        <v>5.9340983642771998E-4</v>
      </c>
      <c r="N577" s="41"/>
    </row>
    <row r="578" spans="1:14" s="40" customFormat="1" ht="18" x14ac:dyDescent="0.25">
      <c r="A578" s="148" t="s">
        <v>1284</v>
      </c>
      <c r="B578" s="51">
        <v>88316</v>
      </c>
      <c r="C578" s="52" t="s">
        <v>25</v>
      </c>
      <c r="D578" s="53" t="s">
        <v>23</v>
      </c>
      <c r="E578" s="54">
        <f>E574*2</f>
        <v>400</v>
      </c>
      <c r="F578" s="55">
        <v>16.670000000000002</v>
      </c>
      <c r="G578" s="56">
        <f t="shared" si="29"/>
        <v>6668.0000000000009</v>
      </c>
      <c r="H578" s="48">
        <f t="shared" si="27"/>
        <v>9.5798392148461087E-4</v>
      </c>
      <c r="N578" s="41"/>
    </row>
    <row r="579" spans="1:14" s="40" customFormat="1" ht="36" x14ac:dyDescent="0.25">
      <c r="A579" s="148" t="s">
        <v>1285</v>
      </c>
      <c r="B579" s="74">
        <v>100205</v>
      </c>
      <c r="C579" s="52" t="s">
        <v>166</v>
      </c>
      <c r="D579" s="53" t="s">
        <v>167</v>
      </c>
      <c r="E579" s="55">
        <f>E580*20/1000</f>
        <v>0.6</v>
      </c>
      <c r="F579" s="61">
        <v>1138.6600000000001</v>
      </c>
      <c r="G579" s="56">
        <f t="shared" si="29"/>
        <v>683.19600000000003</v>
      </c>
      <c r="H579" s="48">
        <f t="shared" si="27"/>
        <v>9.8153986686052802E-5</v>
      </c>
      <c r="N579" s="41"/>
    </row>
    <row r="580" spans="1:14" s="40" customFormat="1" ht="36" x14ac:dyDescent="0.25">
      <c r="A580" s="148" t="s">
        <v>1286</v>
      </c>
      <c r="B580" s="74">
        <v>72897</v>
      </c>
      <c r="C580" s="52" t="s">
        <v>169</v>
      </c>
      <c r="D580" s="53" t="s">
        <v>66</v>
      </c>
      <c r="E580" s="55">
        <v>30</v>
      </c>
      <c r="F580" s="96">
        <v>21.94</v>
      </c>
      <c r="G580" s="56">
        <f t="shared" si="29"/>
        <v>658.2</v>
      </c>
      <c r="H580" s="48">
        <f t="shared" si="27"/>
        <v>9.4562840000175585E-5</v>
      </c>
      <c r="N580" s="41"/>
    </row>
    <row r="581" spans="1:14" s="40" customFormat="1" ht="54.75" thickBot="1" x14ac:dyDescent="0.3">
      <c r="A581" s="148" t="s">
        <v>1287</v>
      </c>
      <c r="B581" s="87">
        <v>97914</v>
      </c>
      <c r="C581" s="88" t="s">
        <v>171</v>
      </c>
      <c r="D581" s="89" t="s">
        <v>167</v>
      </c>
      <c r="E581" s="163">
        <f>E580*20</f>
        <v>600</v>
      </c>
      <c r="F581" s="163">
        <v>1.77</v>
      </c>
      <c r="G581" s="56">
        <f t="shared" si="29"/>
        <v>1062</v>
      </c>
      <c r="H581" s="48">
        <f t="shared" ref="H581:H602" si="30">G581/$G$602</f>
        <v>1.5257632342781293E-4</v>
      </c>
      <c r="N581" s="41"/>
    </row>
    <row r="582" spans="1:14" s="40" customFormat="1" ht="21" thickBot="1" x14ac:dyDescent="0.35">
      <c r="A582" s="164"/>
      <c r="B582" s="165"/>
      <c r="C582" s="165"/>
      <c r="D582" s="166"/>
      <c r="E582" s="167"/>
      <c r="F582" s="168" t="s">
        <v>1288</v>
      </c>
      <c r="G582" s="72">
        <f>G9+G18+G70+G91+G127+G136+G144+G159+G184+G194+G232+G259+G281+G422+G428+G472+G573+G464+G477+G500+G488</f>
        <v>4933890.3056499995</v>
      </c>
      <c r="H582" s="48">
        <f t="shared" si="30"/>
        <v>0.70884636820358293</v>
      </c>
      <c r="I582" s="169">
        <f>SUM(G9:G581)/2</f>
        <v>4933890.3056499986</v>
      </c>
      <c r="J582" s="170">
        <f>G582-I582</f>
        <v>0</v>
      </c>
      <c r="N582" s="41"/>
    </row>
    <row r="583" spans="1:14" s="40" customFormat="1" ht="21" thickBot="1" x14ac:dyDescent="0.35">
      <c r="A583" s="50"/>
      <c r="B583" s="171"/>
      <c r="C583" s="172"/>
      <c r="D583" s="173"/>
      <c r="E583" s="174" t="s">
        <v>1289</v>
      </c>
      <c r="F583" s="175">
        <v>0.25</v>
      </c>
      <c r="G583" s="176">
        <f>G582*F583</f>
        <v>1233472.5764124999</v>
      </c>
      <c r="H583" s="48">
        <f t="shared" si="30"/>
        <v>0.17721159205089573</v>
      </c>
      <c r="N583" s="41"/>
    </row>
    <row r="584" spans="1:14" s="40" customFormat="1" ht="21" thickBot="1" x14ac:dyDescent="0.35">
      <c r="A584" s="159"/>
      <c r="B584" s="177"/>
      <c r="C584" s="178"/>
      <c r="D584" s="179"/>
      <c r="E584" s="180"/>
      <c r="F584" s="168" t="s">
        <v>1290</v>
      </c>
      <c r="G584" s="181">
        <f>G582+G583</f>
        <v>6167362.8820624994</v>
      </c>
      <c r="H584" s="48">
        <f t="shared" si="30"/>
        <v>0.88605796025447869</v>
      </c>
      <c r="N584" s="41"/>
    </row>
    <row r="585" spans="1:14" s="40" customFormat="1" ht="14.25" thickBot="1" x14ac:dyDescent="0.3">
      <c r="A585" s="182"/>
      <c r="B585" s="183"/>
      <c r="C585" s="184"/>
      <c r="D585" s="185"/>
      <c r="E585" s="186"/>
      <c r="F585" s="187"/>
      <c r="G585" s="188"/>
      <c r="H585" s="48">
        <f t="shared" si="30"/>
        <v>0</v>
      </c>
      <c r="N585" s="41"/>
    </row>
    <row r="586" spans="1:14" s="40" customFormat="1" ht="18.75" thickBot="1" x14ac:dyDescent="0.3">
      <c r="A586" s="189">
        <v>22</v>
      </c>
      <c r="B586" s="190"/>
      <c r="C586" s="71" t="s">
        <v>1291</v>
      </c>
      <c r="D586" s="91"/>
      <c r="E586" s="92"/>
      <c r="F586" s="92"/>
      <c r="G586" s="149"/>
      <c r="H586" s="48">
        <f t="shared" si="30"/>
        <v>0</v>
      </c>
      <c r="N586" s="41"/>
    </row>
    <row r="587" spans="1:14" ht="36" x14ac:dyDescent="0.25">
      <c r="A587" s="191" t="s">
        <v>1275</v>
      </c>
      <c r="B587" s="51">
        <v>93565</v>
      </c>
      <c r="C587" s="192" t="s">
        <v>1292</v>
      </c>
      <c r="D587" s="53" t="s">
        <v>1093</v>
      </c>
      <c r="E587" s="54">
        <v>12</v>
      </c>
      <c r="F587" s="54">
        <f>16090.63/2</f>
        <v>8045.3149999999996</v>
      </c>
      <c r="G587" s="193">
        <f t="shared" ref="G587:G597" si="31">F587*E587</f>
        <v>96543.78</v>
      </c>
      <c r="H587" s="48">
        <f t="shared" si="30"/>
        <v>1.387033427704672E-2</v>
      </c>
    </row>
    <row r="588" spans="1:14" ht="36" x14ac:dyDescent="0.25">
      <c r="A588" s="191" t="s">
        <v>1278</v>
      </c>
      <c r="B588" s="51">
        <v>93565</v>
      </c>
      <c r="C588" s="192" t="s">
        <v>1292</v>
      </c>
      <c r="D588" s="53" t="s">
        <v>1093</v>
      </c>
      <c r="E588" s="54">
        <v>12</v>
      </c>
      <c r="F588" s="54">
        <f>16090.63/2</f>
        <v>8045.3149999999996</v>
      </c>
      <c r="G588" s="193">
        <f t="shared" si="31"/>
        <v>96543.78</v>
      </c>
      <c r="H588" s="48">
        <f t="shared" si="30"/>
        <v>1.387033427704672E-2</v>
      </c>
    </row>
    <row r="589" spans="1:14" ht="36" x14ac:dyDescent="0.25">
      <c r="A589" s="191" t="s">
        <v>1281</v>
      </c>
      <c r="B589" s="83">
        <v>93567</v>
      </c>
      <c r="C589" s="104" t="s">
        <v>1293</v>
      </c>
      <c r="D589" s="119" t="s">
        <v>1093</v>
      </c>
      <c r="E589" s="85">
        <v>12</v>
      </c>
      <c r="F589" s="96">
        <f>18288.36/2</f>
        <v>9144.18</v>
      </c>
      <c r="G589" s="194">
        <f>F589*E589</f>
        <v>109730.16</v>
      </c>
      <c r="H589" s="48">
        <f t="shared" si="30"/>
        <v>1.5764806386012863E-2</v>
      </c>
    </row>
    <row r="590" spans="1:14" ht="36" x14ac:dyDescent="0.25">
      <c r="A590" s="191" t="s">
        <v>1283</v>
      </c>
      <c r="B590" s="51">
        <v>93572</v>
      </c>
      <c r="C590" s="195" t="s">
        <v>1294</v>
      </c>
      <c r="D590" s="69" t="s">
        <v>1093</v>
      </c>
      <c r="E590" s="55">
        <v>12</v>
      </c>
      <c r="F590" s="55">
        <v>5071.1099999999997</v>
      </c>
      <c r="G590" s="193">
        <f t="shared" si="31"/>
        <v>60853.319999999992</v>
      </c>
      <c r="H590" s="48">
        <f t="shared" si="30"/>
        <v>8.7427267739888844E-3</v>
      </c>
    </row>
    <row r="591" spans="1:14" ht="36" x14ac:dyDescent="0.25">
      <c r="A591" s="191" t="s">
        <v>1284</v>
      </c>
      <c r="B591" s="51">
        <v>93572</v>
      </c>
      <c r="C591" s="195" t="s">
        <v>1294</v>
      </c>
      <c r="D591" s="69" t="s">
        <v>1093</v>
      </c>
      <c r="E591" s="55">
        <v>12</v>
      </c>
      <c r="F591" s="55">
        <v>5071.1099999999997</v>
      </c>
      <c r="G591" s="193">
        <f t="shared" si="31"/>
        <v>60853.319999999992</v>
      </c>
      <c r="H591" s="48">
        <f t="shared" si="30"/>
        <v>8.7427267739888844E-3</v>
      </c>
    </row>
    <row r="592" spans="1:14" ht="18" x14ac:dyDescent="0.25">
      <c r="A592" s="191" t="s">
        <v>1285</v>
      </c>
      <c r="B592" s="51">
        <v>93563</v>
      </c>
      <c r="C592" s="195" t="s">
        <v>1295</v>
      </c>
      <c r="D592" s="69" t="s">
        <v>1093</v>
      </c>
      <c r="E592" s="55">
        <f>E590</f>
        <v>12</v>
      </c>
      <c r="F592" s="55">
        <v>4027.24</v>
      </c>
      <c r="G592" s="193">
        <f t="shared" si="31"/>
        <v>48326.879999999997</v>
      </c>
      <c r="H592" s="48">
        <f t="shared" si="30"/>
        <v>6.9430674888296641E-3</v>
      </c>
    </row>
    <row r="593" spans="1:10" ht="18" x14ac:dyDescent="0.25">
      <c r="A593" s="191" t="s">
        <v>1286</v>
      </c>
      <c r="B593" s="196" t="s">
        <v>1296</v>
      </c>
      <c r="C593" s="195" t="s">
        <v>1297</v>
      </c>
      <c r="D593" s="69" t="s">
        <v>1093</v>
      </c>
      <c r="E593" s="55">
        <f>E592</f>
        <v>12</v>
      </c>
      <c r="F593" s="55">
        <v>812.13</v>
      </c>
      <c r="G593" s="193">
        <f t="shared" si="31"/>
        <v>9745.56</v>
      </c>
      <c r="H593" s="48">
        <f t="shared" si="30"/>
        <v>1.400133441191296E-3</v>
      </c>
    </row>
    <row r="594" spans="1:10" ht="36" x14ac:dyDescent="0.25">
      <c r="A594" s="191" t="s">
        <v>1287</v>
      </c>
      <c r="B594" s="51" t="s">
        <v>1298</v>
      </c>
      <c r="C594" s="197" t="str">
        <f>UPPER("Veículo leve - Volkswagen:GOL 1000 - automóvel até 100 hp")</f>
        <v>VEÍCULO LEVE - VOLKSWAGEN:GOL 1000 - AUTOMÓVEL ATÉ 100 HP</v>
      </c>
      <c r="D594" s="69" t="s">
        <v>1093</v>
      </c>
      <c r="E594" s="85">
        <v>12</v>
      </c>
      <c r="F594" s="85">
        <f>9.9*220</f>
        <v>2178</v>
      </c>
      <c r="G594" s="193">
        <f t="shared" si="31"/>
        <v>26136</v>
      </c>
      <c r="H594" s="48">
        <f t="shared" si="30"/>
        <v>3.7549291799522772E-3</v>
      </c>
    </row>
    <row r="595" spans="1:10" ht="36" x14ac:dyDescent="0.25">
      <c r="A595" s="191" t="s">
        <v>1299</v>
      </c>
      <c r="B595" s="196" t="s">
        <v>1300</v>
      </c>
      <c r="C595" s="197" t="s">
        <v>1301</v>
      </c>
      <c r="D595" s="69" t="s">
        <v>1093</v>
      </c>
      <c r="E595" s="85">
        <v>12</v>
      </c>
      <c r="F595" s="85">
        <f>10.86*220</f>
        <v>2389.1999999999998</v>
      </c>
      <c r="G595" s="193">
        <f t="shared" si="31"/>
        <v>28670.399999999998</v>
      </c>
      <c r="H595" s="48">
        <f t="shared" si="30"/>
        <v>4.1190435246749217E-3</v>
      </c>
    </row>
    <row r="596" spans="1:10" ht="18" x14ac:dyDescent="0.25">
      <c r="A596" s="191" t="s">
        <v>1302</v>
      </c>
      <c r="B596" s="51">
        <v>4222</v>
      </c>
      <c r="C596" s="197" t="s">
        <v>1303</v>
      </c>
      <c r="D596" s="69" t="s">
        <v>1304</v>
      </c>
      <c r="E596" s="85">
        <f>200*E587</f>
        <v>2400</v>
      </c>
      <c r="F596" s="85">
        <v>4.46</v>
      </c>
      <c r="G596" s="193">
        <f t="shared" si="31"/>
        <v>10704</v>
      </c>
      <c r="H596" s="48">
        <f t="shared" si="30"/>
        <v>1.5378314180520805E-3</v>
      </c>
    </row>
    <row r="597" spans="1:10" ht="36.75" thickBot="1" x14ac:dyDescent="0.3">
      <c r="A597" s="191" t="s">
        <v>1305</v>
      </c>
      <c r="B597" s="196" t="s">
        <v>479</v>
      </c>
      <c r="C597" s="197" t="s">
        <v>1306</v>
      </c>
      <c r="D597" s="69" t="s">
        <v>1093</v>
      </c>
      <c r="E597" s="85">
        <f>E593</f>
        <v>12</v>
      </c>
      <c r="F597" s="85">
        <f>[1]COMPOSIÇÕES!H31*2</f>
        <v>7196.9311552000017</v>
      </c>
      <c r="G597" s="193">
        <f t="shared" si="31"/>
        <v>86363.173862400028</v>
      </c>
      <c r="H597" s="48">
        <f t="shared" si="30"/>
        <v>1.2407698255632755E-2</v>
      </c>
    </row>
    <row r="598" spans="1:10" ht="21" thickBot="1" x14ac:dyDescent="0.35">
      <c r="A598" s="198"/>
      <c r="B598" s="199"/>
      <c r="C598" s="199"/>
      <c r="D598" s="200"/>
      <c r="E598" s="201"/>
      <c r="F598" s="168" t="s">
        <v>1307</v>
      </c>
      <c r="G598" s="202">
        <f>SUM(G587:G597)</f>
        <v>634470.37386239995</v>
      </c>
      <c r="H598" s="48">
        <f t="shared" si="30"/>
        <v>9.1153631796417056E-2</v>
      </c>
    </row>
    <row r="599" spans="1:10" ht="21" thickBot="1" x14ac:dyDescent="0.35">
      <c r="A599" s="191"/>
      <c r="B599" s="203"/>
      <c r="C599" s="204"/>
      <c r="D599" s="205"/>
      <c r="E599" s="206" t="s">
        <v>1289</v>
      </c>
      <c r="F599" s="207">
        <v>0.25</v>
      </c>
      <c r="G599" s="208">
        <f>G598*F599</f>
        <v>158617.59346559999</v>
      </c>
      <c r="H599" s="48">
        <f t="shared" si="30"/>
        <v>2.2788407949104264E-2</v>
      </c>
    </row>
    <row r="600" spans="1:10" ht="21" thickBot="1" x14ac:dyDescent="0.35">
      <c r="A600" s="209"/>
      <c r="B600" s="210"/>
      <c r="C600" s="211"/>
      <c r="D600" s="212"/>
      <c r="E600" s="213"/>
      <c r="F600" s="214" t="s">
        <v>1308</v>
      </c>
      <c r="G600" s="215">
        <f>G599+G598</f>
        <v>793087.96732799988</v>
      </c>
      <c r="H600" s="48">
        <f t="shared" si="30"/>
        <v>0.11394203974552132</v>
      </c>
    </row>
    <row r="601" spans="1:10" ht="14.25" thickBot="1" x14ac:dyDescent="0.3">
      <c r="A601" s="216"/>
      <c r="B601" s="217"/>
      <c r="C601" s="217"/>
      <c r="D601" s="217"/>
      <c r="E601" s="217"/>
      <c r="F601" s="217"/>
      <c r="G601" s="218"/>
      <c r="H601" s="48">
        <f t="shared" si="30"/>
        <v>0</v>
      </c>
    </row>
    <row r="602" spans="1:10" ht="21" thickBot="1" x14ac:dyDescent="0.35">
      <c r="A602" s="209"/>
      <c r="B602" s="210"/>
      <c r="C602" s="211"/>
      <c r="D602" s="212"/>
      <c r="E602" s="213"/>
      <c r="F602" s="214" t="s">
        <v>1309</v>
      </c>
      <c r="G602" s="215">
        <f>G584+G600</f>
        <v>6960450.8493904993</v>
      </c>
      <c r="H602" s="48">
        <f t="shared" si="30"/>
        <v>1</v>
      </c>
      <c r="I602" s="169">
        <f>G582+G583+G598+G599</f>
        <v>6960450.8493904993</v>
      </c>
      <c r="J602" s="219">
        <f>G602-I602</f>
        <v>0</v>
      </c>
    </row>
    <row r="603" spans="1:10" x14ac:dyDescent="0.2">
      <c r="A603" s="220"/>
      <c r="B603" s="220"/>
      <c r="C603" s="221"/>
      <c r="D603" s="222"/>
      <c r="E603" s="223"/>
      <c r="F603" s="224"/>
      <c r="G603" s="224"/>
    </row>
    <row r="604" spans="1:10" ht="15.75" x14ac:dyDescent="0.25">
      <c r="A604" s="225" t="s">
        <v>1310</v>
      </c>
      <c r="B604" s="225"/>
      <c r="C604" s="226" t="s">
        <v>1311</v>
      </c>
      <c r="D604" s="222"/>
      <c r="E604" s="227"/>
      <c r="F604" s="227"/>
      <c r="G604" s="227"/>
    </row>
    <row r="605" spans="1:10" ht="31.5" x14ac:dyDescent="0.2">
      <c r="A605" s="220"/>
      <c r="B605" s="220"/>
      <c r="C605" s="226" t="s">
        <v>1312</v>
      </c>
      <c r="D605" s="222"/>
      <c r="E605" s="223"/>
      <c r="F605" s="224"/>
      <c r="G605" s="224"/>
    </row>
    <row r="606" spans="1:10" ht="15.75" x14ac:dyDescent="0.25">
      <c r="A606" s="220"/>
      <c r="B606" s="220"/>
      <c r="C606" s="226" t="s">
        <v>1313</v>
      </c>
      <c r="D606" s="222"/>
      <c r="E606" s="227"/>
      <c r="F606" s="227"/>
      <c r="G606" s="227"/>
    </row>
    <row r="607" spans="1:10" ht="15.75" x14ac:dyDescent="0.25">
      <c r="A607" s="220"/>
      <c r="B607" s="220"/>
      <c r="C607" s="228" t="s">
        <v>1314</v>
      </c>
      <c r="D607" s="222"/>
      <c r="E607" s="229"/>
      <c r="F607" s="229"/>
      <c r="G607" s="229"/>
    </row>
    <row r="608" spans="1:10" x14ac:dyDescent="0.2">
      <c r="A608" s="220"/>
      <c r="B608" s="220"/>
      <c r="C608" s="221"/>
      <c r="D608" s="222"/>
      <c r="E608" s="229"/>
      <c r="F608" s="229"/>
      <c r="G608" s="229"/>
    </row>
    <row r="609" spans="1:7" x14ac:dyDescent="0.2">
      <c r="A609" s="220"/>
      <c r="B609" s="220"/>
      <c r="C609" s="221"/>
      <c r="D609" s="222"/>
      <c r="E609" s="223"/>
      <c r="F609" s="224"/>
      <c r="G609" s="224"/>
    </row>
    <row r="612" spans="1:7" x14ac:dyDescent="0.2">
      <c r="E612" s="233"/>
      <c r="F612" s="233"/>
      <c r="G612" s="233"/>
    </row>
    <row r="613" spans="1:7" x14ac:dyDescent="0.2">
      <c r="E613" s="233"/>
      <c r="F613" s="233"/>
      <c r="G613" s="233"/>
    </row>
    <row r="614" spans="1:7" x14ac:dyDescent="0.2">
      <c r="E614" s="234"/>
      <c r="F614" s="234"/>
      <c r="G614" s="234"/>
    </row>
    <row r="615" spans="1:7" x14ac:dyDescent="0.2">
      <c r="E615" s="234"/>
      <c r="F615" s="234"/>
      <c r="G615" s="234"/>
    </row>
  </sheetData>
  <mergeCells count="17">
    <mergeCell ref="E608:G608"/>
    <mergeCell ref="E612:G612"/>
    <mergeCell ref="E613:G613"/>
    <mergeCell ref="E614:G614"/>
    <mergeCell ref="E615:G615"/>
    <mergeCell ref="A7:C7"/>
    <mergeCell ref="D7:E7"/>
    <mergeCell ref="A604:B604"/>
    <mergeCell ref="E604:G604"/>
    <mergeCell ref="E606:G606"/>
    <mergeCell ref="E607:G607"/>
    <mergeCell ref="A1:D1"/>
    <mergeCell ref="A2:D2"/>
    <mergeCell ref="A3:D3"/>
    <mergeCell ref="A5:E5"/>
    <mergeCell ref="A6:C6"/>
    <mergeCell ref="D6:E6"/>
  </mergeCells>
  <printOptions horizontalCentered="1"/>
  <pageMargins left="0.39370078740157483" right="0.39370078740157483" top="0.78740157480314965" bottom="0.59055118110236227" header="0.51181102362204722" footer="0.11811023622047245"/>
  <pageSetup paperSize="9" scale="60" orientation="portrait" r:id="rId1"/>
  <headerFooter alignWithMargins="0">
    <oddFooter>&amp;CPágina &amp;P de &amp;N&amp;RCoordenação de Orçamento e Planejamento 
Eng. Civil Inácio Alves
CREA/BA: 25.577-D</oddFooter>
  </headerFooter>
  <rowBreaks count="17" manualBreakCount="17">
    <brk id="46" max="7" man="1"/>
    <brk id="80" max="7" man="1"/>
    <brk id="109" max="7" man="1"/>
    <brk id="137" max="7" man="1"/>
    <brk id="174" max="7" man="1"/>
    <brk id="205" max="7" man="1"/>
    <brk id="235" max="7" man="1"/>
    <brk id="272" max="7" man="1"/>
    <brk id="304" max="7" man="1"/>
    <brk id="337" max="7" man="1"/>
    <brk id="371" max="7" man="1"/>
    <brk id="405" max="7" man="1"/>
    <brk id="435" max="7" man="1"/>
    <brk id="469" max="7" man="1"/>
    <brk id="499" max="7" man="1"/>
    <brk id="533" max="7" man="1"/>
    <brk id="563" max="7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6</xdr:col>
                <xdr:colOff>466725</xdr:colOff>
                <xdr:row>7</xdr:row>
                <xdr:rowOff>0</xdr:rowOff>
              </from>
              <to>
                <xdr:col>7</xdr:col>
                <xdr:colOff>0</xdr:colOff>
                <xdr:row>7</xdr:row>
                <xdr:rowOff>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SERVIÇOS</vt:lpstr>
      <vt:lpstr>SERVIÇOS!Area_de_impressao</vt:lpstr>
      <vt:lpstr>SERVIÇOS!Titulos_de_impressao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Antonio L Oliveira</dc:creator>
  <cp:lastModifiedBy>Marco Antonio L Oliveira</cp:lastModifiedBy>
  <dcterms:created xsi:type="dcterms:W3CDTF">2020-10-09T19:01:55Z</dcterms:created>
  <dcterms:modified xsi:type="dcterms:W3CDTF">2020-10-09T19:03:24Z</dcterms:modified>
</cp:coreProperties>
</file>